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IMS\9. IMS RFP\Question\"/>
    </mc:Choice>
  </mc:AlternateContent>
  <bookViews>
    <workbookView xWindow="0" yWindow="0" windowWidth="23040" windowHeight="9195"/>
  </bookViews>
  <sheets>
    <sheet name="Pharmaceutical Co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25" i="1" l="1"/>
  <c r="A1924" i="1"/>
  <c r="A1923" i="1"/>
  <c r="A1922" i="1"/>
  <c r="A1921" i="1"/>
  <c r="A1920" i="1"/>
  <c r="A1919" i="1"/>
  <c r="A1918" i="1"/>
  <c r="A1917" i="1"/>
  <c r="A1916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5" i="1"/>
  <c r="A1894" i="1"/>
  <c r="A1893" i="1"/>
  <c r="A1892" i="1"/>
  <c r="A1891" i="1"/>
  <c r="A1890" i="1"/>
  <c r="A1889" i="1"/>
  <c r="A1888" i="1"/>
  <c r="A1887" i="1"/>
  <c r="A1886" i="1"/>
  <c r="A1885" i="1"/>
  <c r="A1884" i="1"/>
  <c r="A1883" i="1"/>
  <c r="A1882" i="1"/>
  <c r="A1881" i="1"/>
  <c r="A1880" i="1"/>
  <c r="A1879" i="1"/>
  <c r="A1878" i="1"/>
  <c r="A1877" i="1"/>
  <c r="A1876" i="1"/>
  <c r="A1875" i="1"/>
  <c r="A1874" i="1"/>
  <c r="A1873" i="1"/>
  <c r="A1872" i="1"/>
  <c r="A1871" i="1"/>
  <c r="A1870" i="1"/>
  <c r="A1869" i="1"/>
  <c r="A1868" i="1"/>
  <c r="A1867" i="1"/>
  <c r="A1866" i="1"/>
  <c r="A1865" i="1"/>
  <c r="A1864" i="1"/>
  <c r="A1863" i="1"/>
  <c r="A1862" i="1"/>
  <c r="A1861" i="1"/>
  <c r="A1860" i="1"/>
  <c r="A1859" i="1"/>
  <c r="A1858" i="1"/>
  <c r="A1857" i="1"/>
  <c r="A1856" i="1"/>
  <c r="A1855" i="1"/>
  <c r="A1854" i="1"/>
  <c r="A1853" i="1"/>
  <c r="A1852" i="1"/>
  <c r="A1851" i="1"/>
  <c r="A1850" i="1"/>
  <c r="A1849" i="1"/>
  <c r="A1848" i="1"/>
  <c r="A1847" i="1"/>
  <c r="A1846" i="1"/>
  <c r="A1845" i="1"/>
  <c r="A1844" i="1"/>
  <c r="A1843" i="1"/>
  <c r="A1842" i="1"/>
  <c r="A1841" i="1"/>
  <c r="A1840" i="1"/>
  <c r="A1839" i="1"/>
  <c r="A1838" i="1"/>
  <c r="A1837" i="1"/>
  <c r="A1836" i="1"/>
  <c r="A1835" i="1"/>
  <c r="A1834" i="1"/>
  <c r="A1833" i="1"/>
  <c r="A1832" i="1"/>
  <c r="A1831" i="1"/>
  <c r="A1830" i="1"/>
  <c r="A1829" i="1"/>
  <c r="A1828" i="1"/>
  <c r="A1827" i="1"/>
  <c r="A1826" i="1"/>
  <c r="A1825" i="1"/>
  <c r="A1824" i="1"/>
  <c r="A1823" i="1"/>
  <c r="A1822" i="1"/>
  <c r="A1821" i="1"/>
  <c r="A1820" i="1"/>
  <c r="A1819" i="1"/>
  <c r="A1818" i="1"/>
  <c r="A1817" i="1"/>
  <c r="A1816" i="1"/>
  <c r="A1815" i="1"/>
  <c r="A1814" i="1"/>
  <c r="A1813" i="1"/>
  <c r="A1812" i="1"/>
  <c r="A1811" i="1"/>
  <c r="A1810" i="1"/>
  <c r="A1809" i="1"/>
  <c r="A1808" i="1"/>
  <c r="A1807" i="1"/>
  <c r="A1806" i="1"/>
  <c r="A1805" i="1"/>
  <c r="A1804" i="1"/>
  <c r="A1803" i="1"/>
  <c r="A1802" i="1"/>
  <c r="A1801" i="1"/>
  <c r="A1800" i="1"/>
  <c r="A1799" i="1"/>
  <c r="A1798" i="1"/>
  <c r="A1797" i="1"/>
  <c r="A1796" i="1"/>
  <c r="A1795" i="1"/>
  <c r="A1794" i="1"/>
  <c r="A1793" i="1"/>
  <c r="A1792" i="1"/>
  <c r="A1791" i="1"/>
  <c r="A1790" i="1"/>
  <c r="A1789" i="1"/>
  <c r="A1788" i="1"/>
  <c r="A1787" i="1"/>
  <c r="A1786" i="1"/>
  <c r="A1785" i="1"/>
  <c r="A1784" i="1"/>
  <c r="A1783" i="1"/>
  <c r="A1782" i="1"/>
  <c r="A1781" i="1"/>
  <c r="A1780" i="1"/>
  <c r="A1779" i="1"/>
  <c r="A1778" i="1"/>
  <c r="A1777" i="1"/>
  <c r="A1776" i="1"/>
  <c r="A1775" i="1"/>
  <c r="A1774" i="1"/>
  <c r="A1773" i="1"/>
  <c r="A1772" i="1"/>
  <c r="A1771" i="1"/>
  <c r="A1770" i="1"/>
  <c r="A1769" i="1"/>
  <c r="A1768" i="1"/>
  <c r="A1767" i="1"/>
  <c r="A1766" i="1"/>
  <c r="A1765" i="1"/>
  <c r="A1764" i="1"/>
  <c r="A1763" i="1"/>
  <c r="A1762" i="1"/>
  <c r="A1761" i="1"/>
  <c r="A1760" i="1"/>
  <c r="A1759" i="1"/>
  <c r="A1758" i="1"/>
  <c r="A1757" i="1"/>
  <c r="A1756" i="1"/>
  <c r="A1754" i="1"/>
  <c r="A1753" i="1"/>
  <c r="A1752" i="1"/>
  <c r="A1751" i="1"/>
  <c r="A1750" i="1"/>
  <c r="A1749" i="1"/>
  <c r="A1748" i="1"/>
  <c r="A1747" i="1"/>
  <c r="A1746" i="1"/>
  <c r="A1745" i="1"/>
  <c r="A1744" i="1"/>
  <c r="A1743" i="1"/>
  <c r="A1742" i="1"/>
  <c r="A1741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7" i="1"/>
  <c r="A1726" i="1"/>
  <c r="A1725" i="1"/>
  <c r="A1724" i="1"/>
  <c r="A1723" i="1"/>
  <c r="A1722" i="1"/>
  <c r="A1721" i="1"/>
  <c r="A1720" i="1"/>
  <c r="A1719" i="1"/>
  <c r="A1718" i="1"/>
  <c r="A1717" i="1"/>
  <c r="A1716" i="1"/>
  <c r="A1715" i="1"/>
  <c r="A1714" i="1"/>
  <c r="A1713" i="1"/>
  <c r="A1712" i="1"/>
  <c r="A1711" i="1"/>
  <c r="A1710" i="1"/>
  <c r="A1709" i="1"/>
  <c r="A1708" i="1"/>
  <c r="A1707" i="1"/>
  <c r="A1706" i="1"/>
  <c r="A1705" i="1"/>
  <c r="A1704" i="1"/>
  <c r="A1703" i="1"/>
  <c r="A1702" i="1"/>
  <c r="A1701" i="1"/>
  <c r="A1700" i="1"/>
  <c r="A1699" i="1"/>
  <c r="A1698" i="1"/>
  <c r="A1697" i="1"/>
  <c r="A1696" i="1"/>
  <c r="A1695" i="1"/>
  <c r="A1694" i="1"/>
  <c r="A1693" i="1"/>
  <c r="A1692" i="1"/>
  <c r="A1691" i="1"/>
  <c r="A1690" i="1"/>
  <c r="A1689" i="1"/>
  <c r="A1688" i="1"/>
  <c r="A1687" i="1"/>
  <c r="A1686" i="1"/>
  <c r="A1685" i="1"/>
  <c r="A1684" i="1"/>
  <c r="A1683" i="1"/>
  <c r="A1682" i="1"/>
  <c r="A1681" i="1"/>
  <c r="A1680" i="1"/>
  <c r="A1679" i="1"/>
  <c r="A1678" i="1"/>
  <c r="A1677" i="1"/>
  <c r="A1676" i="1"/>
  <c r="A1675" i="1"/>
  <c r="A1674" i="1"/>
  <c r="A1673" i="1"/>
  <c r="A1672" i="1"/>
  <c r="A1671" i="1"/>
  <c r="A1670" i="1"/>
  <c r="A1669" i="1"/>
  <c r="A1668" i="1"/>
  <c r="A1667" i="1"/>
  <c r="A1666" i="1"/>
  <c r="A1665" i="1"/>
  <c r="A1664" i="1"/>
  <c r="A1663" i="1"/>
  <c r="A1662" i="1"/>
  <c r="A1661" i="1"/>
  <c r="A1660" i="1"/>
  <c r="A1659" i="1"/>
  <c r="A1658" i="1"/>
  <c r="A1657" i="1"/>
  <c r="A1656" i="1"/>
  <c r="A1655" i="1"/>
  <c r="A1654" i="1"/>
  <c r="A1653" i="1"/>
  <c r="A1652" i="1"/>
  <c r="A1651" i="1"/>
  <c r="A1650" i="1"/>
  <c r="A1649" i="1"/>
  <c r="A1648" i="1"/>
  <c r="A1647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3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3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600" i="1"/>
  <c r="A1595" i="1"/>
  <c r="A1594" i="1"/>
  <c r="A1593" i="1"/>
  <c r="A1592" i="1"/>
  <c r="A1591" i="1"/>
  <c r="A1590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7" i="1"/>
  <c r="A1565" i="1"/>
  <c r="A1564" i="1"/>
  <c r="A1563" i="1"/>
  <c r="A1562" i="1"/>
  <c r="A1560" i="1"/>
  <c r="A1559" i="1"/>
  <c r="A1558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2" i="1"/>
  <c r="A1541" i="1"/>
  <c r="A1540" i="1"/>
  <c r="A1539" i="1"/>
  <c r="A1538" i="1"/>
  <c r="A1537" i="1"/>
  <c r="A1536" i="1"/>
  <c r="A1535" i="1"/>
  <c r="A1534" i="1"/>
  <c r="A1533" i="1"/>
  <c r="A1532" i="1"/>
  <c r="A1524" i="1"/>
  <c r="A1523" i="1"/>
  <c r="A1522" i="1"/>
  <c r="A1521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7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2" i="1"/>
  <c r="A1481" i="1"/>
  <c r="A1480" i="1"/>
  <c r="A1479" i="1"/>
  <c r="A1478" i="1"/>
  <c r="A1477" i="1"/>
  <c r="A1476" i="1"/>
  <c r="A1475" i="1"/>
  <c r="A1474" i="1"/>
  <c r="A1473" i="1"/>
  <c r="A1472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6" i="1"/>
  <c r="A1455" i="1"/>
  <c r="A1454" i="1"/>
  <c r="A1453" i="1"/>
  <c r="A1452" i="1"/>
  <c r="A1451" i="1"/>
  <c r="A1450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9" i="1"/>
  <c r="A1428" i="1"/>
  <c r="A1427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4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A1342" i="1"/>
  <c r="A1341" i="1"/>
  <c r="A1340" i="1"/>
  <c r="A1339" i="1"/>
  <c r="A1338" i="1"/>
  <c r="A1337" i="1"/>
  <c r="A1336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6" i="1"/>
  <c r="A1285" i="1"/>
  <c r="A1284" i="1"/>
  <c r="A1283" i="1"/>
  <c r="A1282" i="1"/>
  <c r="A1281" i="1"/>
  <c r="A1280" i="1"/>
  <c r="A1279" i="1"/>
  <c r="A1278" i="1"/>
  <c r="A1277" i="1"/>
  <c r="A1276" i="1"/>
  <c r="A1275" i="1"/>
  <c r="A1274" i="1"/>
  <c r="A1273" i="1"/>
  <c r="A1272" i="1"/>
  <c r="A1271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50" i="1"/>
  <c r="A1249" i="1"/>
  <c r="A1248" i="1"/>
  <c r="A1247" i="1"/>
  <c r="A1246" i="1"/>
  <c r="A1245" i="1"/>
  <c r="A1244" i="1"/>
  <c r="A1243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206" i="1"/>
  <c r="A1205" i="1"/>
  <c r="A1204" i="1"/>
  <c r="A1203" i="1"/>
  <c r="A1202" i="1"/>
  <c r="A1201" i="1"/>
  <c r="A1200" i="1"/>
  <c r="A1199" i="1"/>
  <c r="A1198" i="1"/>
  <c r="A1197" i="1"/>
  <c r="A1196" i="1"/>
  <c r="A1195" i="1"/>
  <c r="A1194" i="1"/>
  <c r="A1193" i="1"/>
  <c r="A1192" i="1"/>
  <c r="A1191" i="1"/>
  <c r="A1190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70" i="1"/>
  <c r="A1169" i="1"/>
  <c r="A1168" i="1"/>
  <c r="A1167" i="1"/>
  <c r="A1166" i="1"/>
  <c r="A1165" i="1"/>
  <c r="A1164" i="1"/>
  <c r="A1163" i="1"/>
  <c r="A1162" i="1"/>
  <c r="A1161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8" i="1"/>
  <c r="A1097" i="1"/>
  <c r="A1096" i="1"/>
  <c r="A1095" i="1"/>
  <c r="A1094" i="1"/>
  <c r="A1093" i="1"/>
  <c r="A1092" i="1"/>
  <c r="A1091" i="1"/>
  <c r="A1090" i="1"/>
  <c r="A1089" i="1"/>
  <c r="A1088" i="1"/>
  <c r="A1087" i="1"/>
  <c r="A1086" i="1"/>
  <c r="A1085" i="1"/>
  <c r="A1084" i="1"/>
  <c r="A1083" i="1"/>
  <c r="A1082" i="1"/>
  <c r="A1081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0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<sst xmlns="http://schemas.openxmlformats.org/spreadsheetml/2006/main" count="5662" uniqueCount="2675">
  <si>
    <t>NDC</t>
  </si>
  <si>
    <t>Generic Abbrev Desc</t>
  </si>
  <si>
    <t>Product Description</t>
  </si>
  <si>
    <t>Unit Size Qty</t>
  </si>
  <si>
    <t>Unit Strength Code</t>
  </si>
  <si>
    <t>Unit Strength Qty</t>
  </si>
  <si>
    <t>FDB Package Size Qty</t>
  </si>
  <si>
    <t>Comments</t>
  </si>
  <si>
    <t>1.2 MICRON EXT 21" SET 50</t>
  </si>
  <si>
    <t>ABACAVIR SULFATE</t>
  </si>
  <si>
    <t>ABACAVIR 300 MG TAB 60</t>
  </si>
  <si>
    <t>MG</t>
  </si>
  <si>
    <t>ABACAVIR SULFATE/LAMIVUDINE</t>
  </si>
  <si>
    <t>ABACAVIR-LAMIVUDINE 600-300 MG TAB 30</t>
  </si>
  <si>
    <t>600-300</t>
  </si>
  <si>
    <t>ABACAVIR/LAMIVUDINE/ZIDOVUDINE</t>
  </si>
  <si>
    <t>ABACAV-LAMIV-ZIDOV 300-150-300 MG TAB 60</t>
  </si>
  <si>
    <t>300/150/300</t>
  </si>
  <si>
    <t>ACETAMINOPHEN</t>
  </si>
  <si>
    <t>ACETAMIN 160MG/5ML ELIXIR 16OZ RUGBY</t>
  </si>
  <si>
    <t>MG/ML</t>
  </si>
  <si>
    <t>160/5</t>
  </si>
  <si>
    <t>ACETAMIN 650MG SUPPOSITORY 100CT PER</t>
  </si>
  <si>
    <t>ACETAMINOPHEN WITH CODEINE</t>
  </si>
  <si>
    <t>ACETAMINEN-COD 300-30 MG TAB 100 UD AHP</t>
  </si>
  <si>
    <t>ACETAMINOPHEN 325 MG TAB 250X2 UD</t>
  </si>
  <si>
    <t>ACETAMINOPHEN 325 MG TAB 750 UD</t>
  </si>
  <si>
    <t>ACETAMINOPHEN-COD 300-30 MG TAB 100 UD</t>
  </si>
  <si>
    <t>300/30</t>
  </si>
  <si>
    <t>ACETAZOLAMIDE</t>
  </si>
  <si>
    <t>ACETAZOLAMIDE 125 MG TAB 100</t>
  </si>
  <si>
    <t>ACETAZOLAMIDE 250 MG TAB 100</t>
  </si>
  <si>
    <t>ACETAZOLAMIDE 500 MG ER CAP 100</t>
  </si>
  <si>
    <t>MG ER</t>
  </si>
  <si>
    <t>ACETIC ACID</t>
  </si>
  <si>
    <t>ACETIC ACID 2% OTIC SOL 15 ML</t>
  </si>
  <si>
    <t>ML</t>
  </si>
  <si>
    <t>HYDROCORTISONE/ACETIC ACID</t>
  </si>
  <si>
    <t>ACETIC ACID-HYDROCOR 2-1% OTIC SOL 10 ML</t>
  </si>
  <si>
    <t>2-1%</t>
  </si>
  <si>
    <t>% W/HC</t>
  </si>
  <si>
    <t>ACETYLCYSTEINE</t>
  </si>
  <si>
    <t>ACETYLCYSTEINE 20% VL 3X30 ML</t>
  </si>
  <si>
    <t>%</t>
  </si>
  <si>
    <t>L. ACIDOPHILUS/LACTOBAC SPOR</t>
  </si>
  <si>
    <t>ACIDOPHILUS X/S TABLET 100CT RUGBY</t>
  </si>
  <si>
    <t>ACYCLOVIR SODIUM</t>
  </si>
  <si>
    <t>ACYCLOVIR 1 GM-20 ML VL 10X20 ML</t>
  </si>
  <si>
    <t>GM</t>
  </si>
  <si>
    <t>ACYCLOVIR</t>
  </si>
  <si>
    <t>ACYCLOVIR 400 MG TAB 100</t>
  </si>
  <si>
    <t>ACYCLOVIR 400 MG TAB 100 UD AHP</t>
  </si>
  <si>
    <t>ACYCLOVIR 400 MG TAB 500</t>
  </si>
  <si>
    <t>ACYCLOVIR 5% ONT 30 GM</t>
  </si>
  <si>
    <t>ACYCLOVIR 800 MG TAB 100</t>
  </si>
  <si>
    <t>ACYCLOVIR 800 MG TAB 100 UD AHP</t>
  </si>
  <si>
    <t>ACYCLOVIR 800 MG TAB 500</t>
  </si>
  <si>
    <t>DIPH,PERTUSS(ACELL),TET VAC/PF</t>
  </si>
  <si>
    <t>ADACEL VL 10X0.5 ML</t>
  </si>
  <si>
    <t>ADAPALENE</t>
  </si>
  <si>
    <t>ADAPALENE 0.3% GEL 45 GM</t>
  </si>
  <si>
    <t>FLUTICASONE/SALMETEROL</t>
  </si>
  <si>
    <t>ADVAIR DISKUS INHA 250/50 PWD 60</t>
  </si>
  <si>
    <t>250/50</t>
  </si>
  <si>
    <t>INHA</t>
  </si>
  <si>
    <t>ADVAIR DISKUS INHA 500/50 PWD 60</t>
  </si>
  <si>
    <t>500/50</t>
  </si>
  <si>
    <t>INHALER, ASSIST DEVICES</t>
  </si>
  <si>
    <t>AEROCHAMBER INHALER</t>
  </si>
  <si>
    <t>ALBENDAZOLE</t>
  </si>
  <si>
    <t>ALBENZA 200 MG TAB 2</t>
  </si>
  <si>
    <t>ALBUTEROL SULFATE</t>
  </si>
  <si>
    <t>ALBUTEROL SULF 0.083% INH SOL 30X1X3 ML</t>
  </si>
  <si>
    <t>ALENDRONATE SODIUM</t>
  </si>
  <si>
    <t>ALENDRONATE 70 MG TAB (3X4) 12 UD</t>
  </si>
  <si>
    <t>ALENDRONATE 70 MG TAB 4 UD</t>
  </si>
  <si>
    <t>NITAZOXANIDE</t>
  </si>
  <si>
    <t>ALINIA 500MG TAB 12</t>
  </si>
  <si>
    <t>FEXOFENADINE/PSEUDOEPHEDRINE</t>
  </si>
  <si>
    <t>ALLEGRA D 24HR 180MG TABLET 15CT PSE CHT</t>
  </si>
  <si>
    <t>CHLORPHENIRAMINE MALEATE</t>
  </si>
  <si>
    <t>ALLERGY CHLORATE 4MG TABLET 24CT MAJ</t>
  </si>
  <si>
    <t>ALLOPURINOL</t>
  </si>
  <si>
    <t>ALLOPURINOL 100 MG TAB 100 UD</t>
  </si>
  <si>
    <t>ALLOPURINOL 100 MG TAB 1000</t>
  </si>
  <si>
    <t>ALLOPURINOL 300 MG TAB 100 UD</t>
  </si>
  <si>
    <t>ALLOPURINOL 300 MG TAB 500</t>
  </si>
  <si>
    <t>ALPRAZOLAM</t>
  </si>
  <si>
    <t>ALPRAZOLAM 0.5 MG TAB 100 UD</t>
  </si>
  <si>
    <t>ALUMINUM HYDROXIDE</t>
  </si>
  <si>
    <t>ALUM HYD GEL 16OZ RUGBY</t>
  </si>
  <si>
    <t>AMANTADINE HCL</t>
  </si>
  <si>
    <t>AMANTADINE HCL 100 MG CAP 100</t>
  </si>
  <si>
    <t>AMANTADINE HCL 100 MG CAP 100 UD AHP</t>
  </si>
  <si>
    <t>AMINOCAPROIC ACID</t>
  </si>
  <si>
    <t>AMICAR 0.25G/ ML SOL 8OZ</t>
  </si>
  <si>
    <t>G/ML</t>
  </si>
  <si>
    <t>AMILORIDE HCL</t>
  </si>
  <si>
    <t>AMILORIDE HCL 5 MG TAB 100</t>
  </si>
  <si>
    <t>AMIODARONE HCL</t>
  </si>
  <si>
    <t>AMIODARONE HCL 200 MG TAB 60</t>
  </si>
  <si>
    <t>AMITRIPTYLINE HCL</t>
  </si>
  <si>
    <t>AMITRIPTYLINE HCL 10 MG TAB 100</t>
  </si>
  <si>
    <t>AMITRIPTYLINE HCL 10 MG TAB 100 UD</t>
  </si>
  <si>
    <t>AMITRIPTYLINE HCL 100 MG TAB 100</t>
  </si>
  <si>
    <t>AMITRIPTYLINE HCL 100 MG TAB 100 UD</t>
  </si>
  <si>
    <t>AMITRIPTYLINE HCL 150 MG TAB 100</t>
  </si>
  <si>
    <t>AMITRIPTYLINE HCL 25 MG TAB 100</t>
  </si>
  <si>
    <t>AMITRIPTYLINE HCL 25 MG TAB 100 UD</t>
  </si>
  <si>
    <t>AMITRIPTYLINE HCL 25 MG TAB 1000</t>
  </si>
  <si>
    <t>AMITRIPTYLINE HCL 50 MG TAB 100</t>
  </si>
  <si>
    <t>AMITRIPTYLINE HCL 50 MG TAB 100 UD</t>
  </si>
  <si>
    <t>AMITRIPTYLINE HCL 50 MG TAB 1000</t>
  </si>
  <si>
    <t>AMITRIPTYLINE HCL 75 MG TAB 100</t>
  </si>
  <si>
    <t>AMITRIPTYLINE HCL 75 MG TAB 100 UD</t>
  </si>
  <si>
    <t>AMLODIPINE BESYLATE</t>
  </si>
  <si>
    <t>AMLODIPINE BESYLATE 10 MG TAB 100 UD</t>
  </si>
  <si>
    <t>AMLODIPINE BESYLATE 10 MG TAB 100 UD AHP</t>
  </si>
  <si>
    <t>AMLODIPINE BESYLATE 10 MG TAB 2400</t>
  </si>
  <si>
    <t>AMLODIPINE BESYLATE 10 MG TAB 90</t>
  </si>
  <si>
    <t>AMLODIPINE BESYLATE 2.5 MG TAB 90</t>
  </si>
  <si>
    <t>AMLODIPINE BESYLATE 5 MG TAB 100 UD</t>
  </si>
  <si>
    <t>AMLODIPINE BESYLATE 5 MG TAB 1000</t>
  </si>
  <si>
    <t>AMLODIPINE BESYLATE 5 MG TAB 90</t>
  </si>
  <si>
    <t>AMMONIUM LACTATE</t>
  </si>
  <si>
    <t>AMMONIUM LACTATE 12% CRM 2X140 GM</t>
  </si>
  <si>
    <t>AMMONIUM LACTATE 12% LOTION 225GM MAJ</t>
  </si>
  <si>
    <t>AMOXICILLIN</t>
  </si>
  <si>
    <t>AMOXICILLIN 500 MG CAP 500</t>
  </si>
  <si>
    <t>AMOXICILLIN 875 MG TAB 100</t>
  </si>
  <si>
    <t>AMOXICILLIN/POTASSIUM CLAV</t>
  </si>
  <si>
    <t>AMOXICILLIN-CLAV K 500-125 MG TAB 20</t>
  </si>
  <si>
    <t>125MG</t>
  </si>
  <si>
    <t>500-</t>
  </si>
  <si>
    <t>AMOXICILLIN-CLAV K 875-125 MG TAB 100</t>
  </si>
  <si>
    <t>875/</t>
  </si>
  <si>
    <t>DEXTROAMPHETAMINE/AMPHETAMINE</t>
  </si>
  <si>
    <t>AMPHETAMINE 10MG ER CAP 100</t>
  </si>
  <si>
    <t>AMPHETAMINE MIXED 10 MG ER CAP 100</t>
  </si>
  <si>
    <t>AMPHETAMINE MIXED SALTS 20MG ER CAP 100</t>
  </si>
  <si>
    <t>AMPHETAMINE SALTS 10 MG TAB 100</t>
  </si>
  <si>
    <t>MG CMB</t>
  </si>
  <si>
    <t>AMPHETAMINE SALTS 20 MG TAB 100</t>
  </si>
  <si>
    <t>AMPHETAMINE SALTS 30 MG ER CAP 100</t>
  </si>
  <si>
    <t>AMPICILLIN SODIUM</t>
  </si>
  <si>
    <t>AMPICILLIN 1 GM VL 10</t>
  </si>
  <si>
    <t>AMPICILLIN 2 GM VL 10</t>
  </si>
  <si>
    <t>AMPICILLIN TRIHYDRATE</t>
  </si>
  <si>
    <t>AMPICILLIN TRIHYDRATE 250 MG CAP 100</t>
  </si>
  <si>
    <t>AMPICILLIN SODIUM/SULBACTAM NA</t>
  </si>
  <si>
    <t>AMPICILLIN-SULBACTAM 1.5 GM VL 10</t>
  </si>
  <si>
    <t>AMPICILLIN-SULBACTAM 3 GM VL 10</t>
  </si>
  <si>
    <t>HYOSCYAMINE SULFATE</t>
  </si>
  <si>
    <t>ANASPAZ 0.125 MG TAB 100</t>
  </si>
  <si>
    <t>ANASTROZOLE</t>
  </si>
  <si>
    <t>ANASTROZOLE 1 MG TAB 30</t>
  </si>
  <si>
    <t>LIDOCAINE</t>
  </si>
  <si>
    <t>ANECREAM 4% 30 GM</t>
  </si>
  <si>
    <t>CALCIUM CARBONATE</t>
  </si>
  <si>
    <t>ANTACID CHEW 420 MG TAB 2X250</t>
  </si>
  <si>
    <t>LOPERAMIDE HCL</t>
  </si>
  <si>
    <t>ANTI-DIARRHEAL 2MG CAPLET 12CT MAJ</t>
  </si>
  <si>
    <t>HYDROCORTISONE ACETATE</t>
  </si>
  <si>
    <t>ANUCORT HC 25 MG SUP 100 UD</t>
  </si>
  <si>
    <t>PETROLATUM,WHITE</t>
  </si>
  <si>
    <t>AQUAPHOR OINTMENT SKIN HEALING 3.5OZ</t>
  </si>
  <si>
    <t>ARIPIPRAZOLE</t>
  </si>
  <si>
    <t>ARIPIPRAZOLE 10 MG TAB 100</t>
  </si>
  <si>
    <t>ARIPIPRAZOLE 1MG/ML 150ML ORAL SOLUTION</t>
  </si>
  <si>
    <t>ARIPIPRAZOLE 2 MG TAB 30</t>
  </si>
  <si>
    <t>ARIPIPRAZOLE 20 MG TAB 100</t>
  </si>
  <si>
    <t>ARIPIPRAZOLE 30 MG TAB 100</t>
  </si>
  <si>
    <t>THYROID,PORK</t>
  </si>
  <si>
    <t>ARMOUR THYROID 0.5 GR TAB 100</t>
  </si>
  <si>
    <t>GR</t>
  </si>
  <si>
    <t>ARMOUR THYROID 5 GR TAB 100</t>
  </si>
  <si>
    <t>MOMETASONE FUROATE</t>
  </si>
  <si>
    <t>ASMANEX HFA 200MCG INH 120</t>
  </si>
  <si>
    <t>MCG</t>
  </si>
  <si>
    <t>ASPIRIN</t>
  </si>
  <si>
    <t>ASPIRIN 325 MG TAB 100 RUGBY</t>
  </si>
  <si>
    <t>ASPIRIN 325 MG TAB 500 UD</t>
  </si>
  <si>
    <t>ASPIRIN 325MG 100 TABS RUGBY</t>
  </si>
  <si>
    <t>ASPIRIN 5GR EC TABLET ORANGE 1000CT</t>
  </si>
  <si>
    <t>GR ORG</t>
  </si>
  <si>
    <t>ASPIRIN 81 MG CHW 750 UD</t>
  </si>
  <si>
    <t>ASPIRIN 81 MG CHW 90</t>
  </si>
  <si>
    <t>ASPIRIN 81MG CHEW ORANGE 36CT MAJ</t>
  </si>
  <si>
    <t>ASPIRIN 81MG EC TABLET 1000CT MAJOR</t>
  </si>
  <si>
    <t>ASPIRIN CHILDREN'S 81 MG CHW 500 UD</t>
  </si>
  <si>
    <t>ASPIRIN EC 81 MG TAB UD 100</t>
  </si>
  <si>
    <t>ASPIRIN/DIPYRIDAMOLE</t>
  </si>
  <si>
    <t>ASPIRIN-DIPYRIDAMOLE ER 25-200MG CAP 60</t>
  </si>
  <si>
    <t>ATENOLOL</t>
  </si>
  <si>
    <t>ATENOLOL 100 MG TAB 100</t>
  </si>
  <si>
    <t>ATENOLOL 100 MG TAB 1000</t>
  </si>
  <si>
    <t>ATENOLOL 25 MG TAB 100</t>
  </si>
  <si>
    <t>ATENOLOL 25 MG TAB 100 UD</t>
  </si>
  <si>
    <t>ATENOLOL 25 MG TAB 1000</t>
  </si>
  <si>
    <t>ATENOLOL 50 MG TAB 100</t>
  </si>
  <si>
    <t>ATENOLOL 50 MG TAB 100 UD</t>
  </si>
  <si>
    <t>ATENOLOL 50 MG TAB 1000</t>
  </si>
  <si>
    <t>ATOMOXETINE HCL</t>
  </si>
  <si>
    <t>ATOMOXETINE 100MG CAP 30</t>
  </si>
  <si>
    <t>ATOMOXETINE 10MG CAP 30</t>
  </si>
  <si>
    <t>ATOMOXETINE 25MG CAP 30</t>
  </si>
  <si>
    <t>ATOMOXETINE 40MG CAP 30</t>
  </si>
  <si>
    <t>ATOMOXETINE 60MG CAP 30</t>
  </si>
  <si>
    <t>ATOMOXETINE 80MG CAP 30</t>
  </si>
  <si>
    <t>ATORVASTATIN CALCIUM</t>
  </si>
  <si>
    <t>ATORVASTATIN 10 MG TAB 100 UD AHP</t>
  </si>
  <si>
    <t>ATORVASTATIN 10 MG TAB 1000</t>
  </si>
  <si>
    <t>ATORVASTATIN 10 MG TAB 90</t>
  </si>
  <si>
    <t>ATORVASTATIN 20 MG TAB 100 UD AHP</t>
  </si>
  <si>
    <t>ATORVASTATIN 20 MG TAB 1000</t>
  </si>
  <si>
    <t>ATORVASTATIN 20 MG TAB 90</t>
  </si>
  <si>
    <t>ATORVASTATIN 40 MG TAB 100 UD AHP</t>
  </si>
  <si>
    <t>ATORVASTATIN 40 MG TAB 1000</t>
  </si>
  <si>
    <t>ATORVASTATIN 40 MG TAB 90</t>
  </si>
  <si>
    <t>ATORVASTATIN 80 MG TAB 1000</t>
  </si>
  <si>
    <t>ATORVASTATIN 80 MG TAB 90</t>
  </si>
  <si>
    <t>ATORVASTATIN 80 MG TAB 500</t>
  </si>
  <si>
    <t>ATOVAQUONE</t>
  </si>
  <si>
    <t>ATOVAQUONE 750 MG-5 ML SUS 210 ML</t>
  </si>
  <si>
    <t>EFAVIRENZ/EMTRICIT/TENOFOVR DF</t>
  </si>
  <si>
    <t>ATRIPLA TAB 30</t>
  </si>
  <si>
    <t>ATROPINE SULFATE</t>
  </si>
  <si>
    <t>ATROPINE 1 % OPTHALMIC SOLUTION 2 ML</t>
  </si>
  <si>
    <t>ATROPINE 1 % OPTHALMIC SOLUTION 5 ML</t>
  </si>
  <si>
    <t>ATROPINE SULFATE 1% OPH ONT 3.5 GM</t>
  </si>
  <si>
    <t>IPRATROPIUM BROMIDE</t>
  </si>
  <si>
    <t>ATROVENT HFA 17 MCG INH 12.90 GM</t>
  </si>
  <si>
    <t>FERRIC CITRATE</t>
  </si>
  <si>
    <t>AURYXIA 210 MG TAB 200</t>
  </si>
  <si>
    <t>AVEENO BAR MOISTURIZE FRAG FREE 3.5OZ</t>
  </si>
  <si>
    <t>COLLOIDAL OATMEAL</t>
  </si>
  <si>
    <t>AVEENO CREAM ECZEMA THERAPY MOIST 7.3OZ</t>
  </si>
  <si>
    <t>AVEENO LOTION DAILY MOIST PUMP UNSC 12OZ</t>
  </si>
  <si>
    <t>INTERFERON BETA-1A</t>
  </si>
  <si>
    <t>AVONEX 30MCG/0.5ML PFS 4</t>
  </si>
  <si>
    <t>MCG/ML</t>
  </si>
  <si>
    <t>30/0.5</t>
  </si>
  <si>
    <t>AZITHROMYCIN</t>
  </si>
  <si>
    <t>AZASITE EYE DROP 1% 2.5ML</t>
  </si>
  <si>
    <t>AZATHIOPRINE</t>
  </si>
  <si>
    <t>AZATHIOPRINE 50 MG TAB 100 UD AHP</t>
  </si>
  <si>
    <t>AZELASTINE HCL</t>
  </si>
  <si>
    <t>AZELASTINE HCL 0.1% NAS SPRAY 30 ML</t>
  </si>
  <si>
    <t>AZITHROMYCIN 250 MG TAB 30</t>
  </si>
  <si>
    <t>AZITHROMYCIN 600 MG TAB 30</t>
  </si>
  <si>
    <t>BRINZOLAMIDE</t>
  </si>
  <si>
    <t>AZOPT 1 % SUS 10 ML</t>
  </si>
  <si>
    <t>BACITRACIN/POLYMYXIN B SULFATE</t>
  </si>
  <si>
    <t>BACITR/POLY B OINTMENT 0.5OZ FOU</t>
  </si>
  <si>
    <t>BACITR/POLY B OINTMENT 1OZ FOU</t>
  </si>
  <si>
    <t>BACITRACIN</t>
  </si>
  <si>
    <t>BACITRACIN 500 UN OPH ONT 3.5 GM</t>
  </si>
  <si>
    <t>UNITS</t>
  </si>
  <si>
    <t>BACITRACIN OINT 500UN/GM(1OZ)28.4G G&amp;W</t>
  </si>
  <si>
    <t>UN/GM</t>
  </si>
  <si>
    <t>BACLOFEN</t>
  </si>
  <si>
    <t>BACLOFEN 10 MG TAB 100</t>
  </si>
  <si>
    <t>BACLOFEN 10 MG TAB 100 UD AHP</t>
  </si>
  <si>
    <t>BACLOFEN 10 MG TAB 1000</t>
  </si>
  <si>
    <t>BACLOFEN 10MG TAB (10X10)100 UD</t>
  </si>
  <si>
    <t>BACLOFEN 20 MG TAB 100</t>
  </si>
  <si>
    <t>BACLOFEN 20 MG TAB 100 UD</t>
  </si>
  <si>
    <t>BAG BALM OINTMENT 8OZ</t>
  </si>
  <si>
    <t>BAG ZIP CLEAR 2ML 12X15 1000CT RD PLST</t>
  </si>
  <si>
    <t>BAG ZIP CLEAR 2ML 4X6 1000CT ACTN</t>
  </si>
  <si>
    <t>BAG ZIP CLEAR 2ML 5X8 1000CT ACTN</t>
  </si>
  <si>
    <t>BAG ZIP CLEAR 2ML 9X12 1000CT ACTN</t>
  </si>
  <si>
    <t>BAG ZIP CLEAR 2ML 9X12 1000CT RD PLST</t>
  </si>
  <si>
    <t>BAG ZIP CLEAR 4ML 13X18 500CT RD PLST</t>
  </si>
  <si>
    <t>ADHESIVE BANDAGE</t>
  </si>
  <si>
    <t>BAND AID COMFORT-FLEX PLASTIC 1SZ 60CT</t>
  </si>
  <si>
    <t>DIPHENHYDRAMINE HCL</t>
  </si>
  <si>
    <t>BANOPHEN ELIXIR 16OZ MAJOR</t>
  </si>
  <si>
    <t>ENTECAVIR</t>
  </si>
  <si>
    <t>BARACLUDE 1 MG TAB 30</t>
  </si>
  <si>
    <t>SOD BORATE/BORIC AC/WATER/NACL</t>
  </si>
  <si>
    <t>BAUSCH+LOMB ADV EYE RLF EYE WASH 4OZ</t>
  </si>
  <si>
    <t>LANCETS</t>
  </si>
  <si>
    <t>BD LANCET ULTRAFINE II 30G 200CT</t>
  </si>
  <si>
    <t>PEN NEEDLE, DIABETIC</t>
  </si>
  <si>
    <t>BD ULTRAFINE MINI PEN NDL 5MM 31G 100CT</t>
  </si>
  <si>
    <t>DIPHENHYDRAMINE HCL/ZINC ACET</t>
  </si>
  <si>
    <t>BENADRYL ITCH STOP CREAM 1OZ</t>
  </si>
  <si>
    <t>BENZONATATE</t>
  </si>
  <si>
    <t>BENZONATATE 100MG CAP 10X10 UD AHP</t>
  </si>
  <si>
    <t>BENZONATATE 100MG SGC 500</t>
  </si>
  <si>
    <t>BENZOYL PEROXIDE</t>
  </si>
  <si>
    <t>BENZOYL PEROXIDE 10% 29.5ML LOT RUGBY</t>
  </si>
  <si>
    <t>BENZOYL PEROXIDE 10% 42.5GM GEL RUGBY</t>
  </si>
  <si>
    <t>BENZOYL PEROXIDE 10% WASH 147 ML</t>
  </si>
  <si>
    <t>BENZOYL PEROXIDE 10% WASH 8OZ HARRIS</t>
  </si>
  <si>
    <t>BENZOYL PEROXIDE 5% 29.5ML LOT RUGBY</t>
  </si>
  <si>
    <t>BENZOYL PEROXIDE 5% WASH 5OZ HARRIS</t>
  </si>
  <si>
    <t>BENZOYL PEROXIDE 5% WASH 8OZ HARRIS</t>
  </si>
  <si>
    <t>BENZOYL PEROXIDE GEL 10% 12X56G GERITREX</t>
  </si>
  <si>
    <t>BENZTROPINE MESYLATE</t>
  </si>
  <si>
    <t>BENZTROPINE MES 2 MG-2 ML AMP 5X2 ML</t>
  </si>
  <si>
    <t>BENZTROPINE MESYLATE 0.5 MG TAB 100</t>
  </si>
  <si>
    <t>BENZTROPINE MESYLATE 1 MG TAB 100</t>
  </si>
  <si>
    <t>BENZTROPINE MESYLATE 1 MG TAB 100 UD AHP</t>
  </si>
  <si>
    <t>BENZTROPINE MESYLATE 1 MG TAB 1000</t>
  </si>
  <si>
    <t>BENZTROPINE MESYLATE 2 MG TAB 100</t>
  </si>
  <si>
    <t>BENZTROPINE MESYLATE 2 MG TAB 100 UD AHP</t>
  </si>
  <si>
    <t>BENZTROPINE MESYLATE 2 MG TAB 1000</t>
  </si>
  <si>
    <t>BENZTROPNE MESYLTE 0.5 MG TAB 100 UD AHP</t>
  </si>
  <si>
    <t>BETAMETHASONE DIPROPIONATE</t>
  </si>
  <si>
    <t>BETAMETHASONE DIP 0.05% CRM 45 GM</t>
  </si>
  <si>
    <t>BETAMETHASONE VALERATE</t>
  </si>
  <si>
    <t>BETAMETHASONE VAL 0.1% CRM 15 GM</t>
  </si>
  <si>
    <t>BETAMETHASONE VAL 0.1% CRM 45 GM</t>
  </si>
  <si>
    <t>BETAMETHASONE VAL 0.1% ONT 15 GM</t>
  </si>
  <si>
    <t>BETAMETHASONE VAL 0.1% ONT 45 GM</t>
  </si>
  <si>
    <t>BEXAROTENE</t>
  </si>
  <si>
    <t>BEXAROTENE 75MG CAP 100</t>
  </si>
  <si>
    <t>BICALUTAMIDE</t>
  </si>
  <si>
    <t>BICALUTAMIDE 50 MG TAB 30</t>
  </si>
  <si>
    <t>PENICILLIN G BENZATHINE</t>
  </si>
  <si>
    <t>BICILLIN LA 2400 MU SYG 10X4 ML</t>
  </si>
  <si>
    <t>MU</t>
  </si>
  <si>
    <t>BIMATOPROST</t>
  </si>
  <si>
    <t>BIMATOPROST 0.03% O/S 2.5ML</t>
  </si>
  <si>
    <t>SALIVA SUBSTITUTE COMBO NO.9</t>
  </si>
  <si>
    <t>BIOTENE DRY MOUTH ORAL RINSE A/F 16OZ</t>
  </si>
  <si>
    <t>BISACODYL</t>
  </si>
  <si>
    <t>BISACODYL 10 MG SUP 50 UD</t>
  </si>
  <si>
    <t>BISACODYL 5 MG EC TAB 100 UD</t>
  </si>
  <si>
    <t>MG EC</t>
  </si>
  <si>
    <t>BISACODYL 5MG EC TABLET 100CT MAJOR</t>
  </si>
  <si>
    <t>BISACODYL 5MG EC TABLET 25CT MAJOR</t>
  </si>
  <si>
    <t>BISMUTH SUBSALICYLATE</t>
  </si>
  <si>
    <t>BISMATROL TABLET 30CT MAJOR</t>
  </si>
  <si>
    <t>BORIC ACID</t>
  </si>
  <si>
    <t>BORIC ACID NF POWDER 12OZ HUMCO</t>
  </si>
  <si>
    <t>HARD LENS CLEANER</t>
  </si>
  <si>
    <t>BOSTON ADVANCE CONDITIONING DROP 3.5OZ</t>
  </si>
  <si>
    <t>BOSTON LENS CLEANER 1OZ</t>
  </si>
  <si>
    <t>HARD LENS WETTING SOLUTION</t>
  </si>
  <si>
    <t>BOSTON REWETTING DROP 10ML</t>
  </si>
  <si>
    <t>BOSTON SIMPLUS MULTIACTION SOLU 3.5OZ</t>
  </si>
  <si>
    <t>FLUTICASONE/VILANTEROL</t>
  </si>
  <si>
    <t>BREO ELIPTA 100/25 MCG INH 2X30</t>
  </si>
  <si>
    <t>100/25</t>
  </si>
  <si>
    <t>BREO ELIPTA 200/25MCG INH 2X30</t>
  </si>
  <si>
    <t>200/25</t>
  </si>
  <si>
    <t>TICAGRELOR</t>
  </si>
  <si>
    <t>BRILINTA 60MG TAB 60</t>
  </si>
  <si>
    <t>BRILINTA 90 MG TAB 60</t>
  </si>
  <si>
    <t>BRIMONIDINE TARTRATE</t>
  </si>
  <si>
    <t>BRIMONIDINE TARTRATE 0.2% OPH SOL 10 ML</t>
  </si>
  <si>
    <t>BRIMONIDINE TARTRATE 0.2% OPH SOL 5 ML</t>
  </si>
  <si>
    <t>ARFORMOTEROL TARTRATE</t>
  </si>
  <si>
    <t>BROVANA 15MC G/2ML VL 30</t>
  </si>
  <si>
    <t>G/2ML</t>
  </si>
  <si>
    <t>15MC</t>
  </si>
  <si>
    <t>BUDESONIDE</t>
  </si>
  <si>
    <t>BUDESONIDE 3 MG EC CAP 100</t>
  </si>
  <si>
    <t>BUDESONIDE 32 MCG SPY 8.43 ML</t>
  </si>
  <si>
    <t>BUDESONIDE INH 0.5MG/2ML AMP 6X5X2 ML UP</t>
  </si>
  <si>
    <t>MG/2ML</t>
  </si>
  <si>
    <t>BUMETANIDE</t>
  </si>
  <si>
    <t>BUMETANIDE 0.25 MG-ML MDV 10X10 ML</t>
  </si>
  <si>
    <t>BUMETANIDE 0.25 MG-ML SDV 10X4 ML</t>
  </si>
  <si>
    <t>BUMETANIDE 1 MG TAB 100</t>
  </si>
  <si>
    <t>BUPRENORPHINE HCL</t>
  </si>
  <si>
    <t>BUPRENORPHINE HCL 2 MG TAB 30</t>
  </si>
  <si>
    <t>BUPRENORPHINE HCL 8 MG TAB 30</t>
  </si>
  <si>
    <t>BUPRENORPHINE SL 2MG 30 TABS</t>
  </si>
  <si>
    <t>BUPRENORPHINE SL 8MG 30 TABS</t>
  </si>
  <si>
    <t>BUPROPION HCL</t>
  </si>
  <si>
    <t>BUPROPION HCL 100 MG TAB 100</t>
  </si>
  <si>
    <t>BUPROPION HCL 100 MG TAB 100 UD</t>
  </si>
  <si>
    <t>BUPROPION HCL 150 MG XL TAB 90</t>
  </si>
  <si>
    <t>BUPROPION HCL 300 MG XL TAB 30 UD</t>
  </si>
  <si>
    <t>BUPROPION HCL 300 MG XL TAB 500</t>
  </si>
  <si>
    <t>BUPROPION HCL 300MG ER TAB 500 CT</t>
  </si>
  <si>
    <t>BUPROPION HCL 75 MG TAB 100</t>
  </si>
  <si>
    <t>BUPROPION HCL 75 MG TAB 100 UD</t>
  </si>
  <si>
    <t>BUPROPION HCL 75MG TAB 100 AHP</t>
  </si>
  <si>
    <t>BUPROPION HCL ER XL 300MG TAB 90</t>
  </si>
  <si>
    <t>BUPROPION HCL ER XL TAB 300MG 30 CT</t>
  </si>
  <si>
    <t>BUPROPION HCL ER XL TAB 300MG 90 CT</t>
  </si>
  <si>
    <t>BUPROPION HCL XL 150MG ER TAB 500</t>
  </si>
  <si>
    <t>BUPROPION HCL XL 300 MG ER TAB 500</t>
  </si>
  <si>
    <t>BUSPIRONE HCL</t>
  </si>
  <si>
    <t>BUSPIRONE HCL 10 MG TAB 100 UD</t>
  </si>
  <si>
    <t>BUSPIRONE HCL 10 MG TAB 1000</t>
  </si>
  <si>
    <t>BUSPIRONE HCL 15 MG TAB 100 UD</t>
  </si>
  <si>
    <t>BUSPIRONE HCL 15 MG TAB 180</t>
  </si>
  <si>
    <t>BUSPIRONE HCL 15 MG TAB 500</t>
  </si>
  <si>
    <t>BUSPIRONE HCL 15 MG TAB 60</t>
  </si>
  <si>
    <t>BUSPIRONE HCL 5 MG TAB 100 UD</t>
  </si>
  <si>
    <t>BUTALB/ACETAMINOPHEN/CAFFEINE</t>
  </si>
  <si>
    <t>BUTALBITAL-ACET-CAFF 50-325-40MG TAB 100</t>
  </si>
  <si>
    <t>50/325</t>
  </si>
  <si>
    <t>CAF</t>
  </si>
  <si>
    <t>EXENATIDE</t>
  </si>
  <si>
    <t>BYETTA 250 MCG/ML CRT 2.4 ML</t>
  </si>
  <si>
    <t>CABERGOLINE</t>
  </si>
  <si>
    <t>CABERGOLINE 0.5 MG TAB 8</t>
  </si>
  <si>
    <t>CALAMINE/ZINC OXIDE</t>
  </si>
  <si>
    <t>CALAMINE LOT 177 ML</t>
  </si>
  <si>
    <t>CALCIPOTRIENE</t>
  </si>
  <si>
    <t>CALCIPOTRIENE 0.005% CRM 60 GM</t>
  </si>
  <si>
    <t>CALCIPOTRIENE 0.005% ONT 60 GM</t>
  </si>
  <si>
    <t>CALCIPOTRIENE CRM 0.005% 60GM TUBE</t>
  </si>
  <si>
    <t>CALCIPOTRIENE OINTMENT 0.005% 60GM</t>
  </si>
  <si>
    <t>CALCIUM CITRATE</t>
  </si>
  <si>
    <t>CALCITRATE 200MG (950MG) TAB 100CT MAJOR</t>
  </si>
  <si>
    <t>CALCITRIOL</t>
  </si>
  <si>
    <t>CALCITRIOL 0.25 MCG CAP 100</t>
  </si>
  <si>
    <t>CALCITRIOL 0.5 MCG CAP 100</t>
  </si>
  <si>
    <t>CALCITRIOL 3 MCG-GM ONT 100 GM</t>
  </si>
  <si>
    <t>MCG/G</t>
  </si>
  <si>
    <t>CALCIUM ACETATE</t>
  </si>
  <si>
    <t>CALCIUM ACETATE 667 MG CAP 200</t>
  </si>
  <si>
    <t>CALCIUM OYSTER 500MG TABLET 1000CT MAJ</t>
  </si>
  <si>
    <t>CALCIUM CARBONATE/VITAMIN D3</t>
  </si>
  <si>
    <t>CALCIUM+D OYSTER 500MG TABLET 1000CT MAJ</t>
  </si>
  <si>
    <t>MESALAMINE</t>
  </si>
  <si>
    <t>CANASA 1000 MG SUP 30</t>
  </si>
  <si>
    <t>CASPOFUNGIN ACETATE</t>
  </si>
  <si>
    <t>CANCIDAS 50 MG VL 10 ML</t>
  </si>
  <si>
    <t>CAPSAICIN</t>
  </si>
  <si>
    <t>CAPZASIN-HP 0.1% ODOR FREE CREAM 1.5OZ</t>
  </si>
  <si>
    <t>SUCRALFATE</t>
  </si>
  <si>
    <t>CARAFATE 1GM/ 10ML SUS 14 OZ</t>
  </si>
  <si>
    <t>GM/ML</t>
  </si>
  <si>
    <t>1GM/10ML</t>
  </si>
  <si>
    <t>CARBAMAZEPINE</t>
  </si>
  <si>
    <t>CARBAMAZEPINE 100 MG CHW 100 UD</t>
  </si>
  <si>
    <t>MG CHW</t>
  </si>
  <si>
    <t>CARBAMAZEPINE 100 MG CHW 500</t>
  </si>
  <si>
    <t>CARBAMAZEPINE 100 MG-5 ML SUS 450 ML</t>
  </si>
  <si>
    <t>MG/5ML</t>
  </si>
  <si>
    <t>CARBAMAZEPINE 200 MG TAB 100</t>
  </si>
  <si>
    <t>CARBAMAZEPINE 200 MG TAB 100 UD</t>
  </si>
  <si>
    <t>CARBAMAZEPINE 200 MG TAB 1000</t>
  </si>
  <si>
    <t>CARBIDOPA/LEVODOPA</t>
  </si>
  <si>
    <t>CARBIDOPA-LEVODOPA 10-100 MG TAB 100</t>
  </si>
  <si>
    <t>10/100</t>
  </si>
  <si>
    <t>CARBIDOPA-LEVODOPA 25-100 MG ER TAB 100</t>
  </si>
  <si>
    <t>25/100</t>
  </si>
  <si>
    <t>CARBIDOPA-LEVODOPA 25-100 MG TAB 100</t>
  </si>
  <si>
    <t>CARBIDOPA-LEVODOPA 25-250 MG TAB 100</t>
  </si>
  <si>
    <t>25/250</t>
  </si>
  <si>
    <t>CARISOPRODOL</t>
  </si>
  <si>
    <t>CARISOPRODOL 350 MG TAB 100 UD AHP</t>
  </si>
  <si>
    <t>CARVEDILOL</t>
  </si>
  <si>
    <t>CARVEDILOL 12.5 MG TAB 100</t>
  </si>
  <si>
    <t>CARVEDILOL 12.5 MG TAB 100 AHP</t>
  </si>
  <si>
    <t>CARVEDILOL 12.5 MG TAB 100 UD AHP</t>
  </si>
  <si>
    <t>CARVEDILOL 12.5 MG TAB 500 AHP</t>
  </si>
  <si>
    <t>CARVEDILOL 25 MG TAB 100 AHP</t>
  </si>
  <si>
    <t>CARVEDILOL 25 MG TAB 500 AHP</t>
  </si>
  <si>
    <t>CARVEDILOL 3.125 MG TAB 100 AHP</t>
  </si>
  <si>
    <t>CARVEDILOL 3.125 MG TAB 100 UD</t>
  </si>
  <si>
    <t>CARVEDILOL 3.125 MG TAB 500 AHP</t>
  </si>
  <si>
    <t>CARVEDILOL 6.25 MG TAB 100 AHP</t>
  </si>
  <si>
    <t>CARVEDILOL 6.25 MG TAB 100 UD AHP</t>
  </si>
  <si>
    <t>CARVEDILOL 6.25 MG TAB 500 AHP</t>
  </si>
  <si>
    <t>CASTOR OIL</t>
  </si>
  <si>
    <t>CASTOR OIL USP-OT 2OZ HUMCO</t>
  </si>
  <si>
    <t>ALTEPLASE</t>
  </si>
  <si>
    <t>CATHFLO ACTIV 2 MG VL 2 ML</t>
  </si>
  <si>
    <t>CEFAZOLIN SODIUM</t>
  </si>
  <si>
    <t>CEFAZOLIN 1 GM VL 25</t>
  </si>
  <si>
    <t>CEFAZOLIN 500 MG VL 25</t>
  </si>
  <si>
    <t>CEFEPIME HCL</t>
  </si>
  <si>
    <t>CEFEPIME 1 GM VL 10</t>
  </si>
  <si>
    <t>CEFTAZIDIME</t>
  </si>
  <si>
    <t>CEFTAZIDIME 2 GM VL 10</t>
  </si>
  <si>
    <t>CEFTRIAXONE SODIUM</t>
  </si>
  <si>
    <t>CEFTRIAXONE 1 GM VL 10</t>
  </si>
  <si>
    <t>CEFTRIAXONE 1 GM VL 25</t>
  </si>
  <si>
    <t>CEFTRIAXONE 250 MG VL 10</t>
  </si>
  <si>
    <t>CEFTRIAXONE 500 MG VL 10</t>
  </si>
  <si>
    <t>CEFUROXIME AXETIL</t>
  </si>
  <si>
    <t>CEFUROXIME 500 MG TAB 20</t>
  </si>
  <si>
    <t>CEFUROXIME AXETIL 250MG TAB 20 USP</t>
  </si>
  <si>
    <t>CELECOXIB</t>
  </si>
  <si>
    <t>CELECOXIB 100 MG CAP 500</t>
  </si>
  <si>
    <t>CELECOXIB 200MG CAP 100</t>
  </si>
  <si>
    <t>CENTOR VIAL AMBER SL 16DR-L-16A 240</t>
  </si>
  <si>
    <t>CENTOR VIAL AMBER SL 40DR 95</t>
  </si>
  <si>
    <t>CENTOR VIAL AMBER SL 60DR 60</t>
  </si>
  <si>
    <t>CEPHALEXIN</t>
  </si>
  <si>
    <t>CEPHALEXIN 250 MG-5 ML SUS 200 ML</t>
  </si>
  <si>
    <t>CEPHALEXIN 500 MG CAP 100</t>
  </si>
  <si>
    <t>CEPHALEXIN 500 MG CAP 500</t>
  </si>
  <si>
    <t>CETIRIZINE HCL</t>
  </si>
  <si>
    <t>CETIRIZINE 10MG TABLET 300CT PERRIGO</t>
  </si>
  <si>
    <t>CHLORDIAZEPOXIDE HCL</t>
  </si>
  <si>
    <t>CHLORDIAZEPOXIDE HCL 25 MG CAP 100 UD</t>
  </si>
  <si>
    <t>CHLORHEXIDINE GLUCONATE</t>
  </si>
  <si>
    <t>CHLORHEXIDINE 0.12% LIQ 473 ML AF</t>
  </si>
  <si>
    <t>ML A/F</t>
  </si>
  <si>
    <t>CHLORPROMAZINE HCL</t>
  </si>
  <si>
    <t>CHLORPROMAZINE 100 MG TAB 100</t>
  </si>
  <si>
    <t>CHLORPROMAZINE 100 MG TAB 1000</t>
  </si>
  <si>
    <t>CHLORPROMAZINE 200 MG TAB 100</t>
  </si>
  <si>
    <t>CHLORPROMAZINE 200 MG TAB 1000</t>
  </si>
  <si>
    <t>CHLORPROMAZINE 25 MG TAB 100</t>
  </si>
  <si>
    <t>CHLORPROMAZINE 25 MG-ML AMP 25X1 ML</t>
  </si>
  <si>
    <t>CHLORPROMAZINE 25 MG-ML AMP 25X2 ML</t>
  </si>
  <si>
    <t>CHLORPROMAZINE 50 MG TAB 100</t>
  </si>
  <si>
    <t>CHLORTHALIDONE</t>
  </si>
  <si>
    <t>CHLORTHALIDONE 25 MG TAB 100</t>
  </si>
  <si>
    <t>CHLORTHALIDONE 25 MG TAB 1000</t>
  </si>
  <si>
    <t>CHLORTHALIDONE 50 MG TAB 100</t>
  </si>
  <si>
    <t>CHOLESTYRAMINE (WITH SUGAR)</t>
  </si>
  <si>
    <t>CHOLESTYRAMINE ORANGE PWD 60X4 GM</t>
  </si>
  <si>
    <t>CILOSTAZOL</t>
  </si>
  <si>
    <t>CILOSTAZOL 100 MG TAB 60</t>
  </si>
  <si>
    <t>CILOSTAZOL 50 MG TAB 60</t>
  </si>
  <si>
    <t>CIPROFLOXACIN HCL/DEXAMETH</t>
  </si>
  <si>
    <t>CIPRODEX OTIC 0.3% / 0.1% SUS 7.5 ML</t>
  </si>
  <si>
    <t>0.3%/0.1%</t>
  </si>
  <si>
    <t>CIPROFLOXACIN HCL</t>
  </si>
  <si>
    <t>CIPROFLOXACIN 0.3% OPH SOL 5 ML</t>
  </si>
  <si>
    <t>CIPROFLOXACIN 250 MG TAB 100</t>
  </si>
  <si>
    <t>CIPROFLOXACIN 500 MG TAB 100 UD</t>
  </si>
  <si>
    <t>CIPROFLOXACIN 500 MG TAB 500</t>
  </si>
  <si>
    <t>CIPROFLOXACIN 750 MG TAB 50</t>
  </si>
  <si>
    <t>CITALOPRAM HYDROBROMIDE</t>
  </si>
  <si>
    <t>CITALOPRAM 10 MG TAB 100 UD</t>
  </si>
  <si>
    <t>MG HBR</t>
  </si>
  <si>
    <t>CITALOPRAM 10 MG TAB 500</t>
  </si>
  <si>
    <t>CITALOPRAM 10 MG-5 ML SOL 240 ML</t>
  </si>
  <si>
    <t>CITALOPRAM 20 MG TAB 100 UD</t>
  </si>
  <si>
    <t>CITALOPRAM 20 MG TAB 500</t>
  </si>
  <si>
    <t>CITALOPRAM 40 MG TAB 100 UD</t>
  </si>
  <si>
    <t>CITALOPRAM 40 MG TAB 500</t>
  </si>
  <si>
    <t>CLINDAMYCIN HCL</t>
  </si>
  <si>
    <t>CLINDMYCN 150 MG CAP 100</t>
  </si>
  <si>
    <t>CLINDMYCN 150 MG CAP 100 UD AHP</t>
  </si>
  <si>
    <t>CLINDMYCN 300 MG CAP 100 UD AHP</t>
  </si>
  <si>
    <t>CLINDAMYCIN PHOSPHATE</t>
  </si>
  <si>
    <t>CLINDMYCN PHOS 1% GEL 30 GM</t>
  </si>
  <si>
    <t>CLINDMYCN PHOS 1% LOT 60 ML</t>
  </si>
  <si>
    <t>CLINDMYCN PHOS 1% TOP SOL 30 ML</t>
  </si>
  <si>
    <t>CLINDMYCN PHOS 2% VAG CRM 40 GM</t>
  </si>
  <si>
    <t>CLINDMYCN PHOS 300 MG-2 ML SDV 25X2 ML</t>
  </si>
  <si>
    <t>CLINDMYCN PHOS 600 MG-4 ML SDV 25X4 ML</t>
  </si>
  <si>
    <t>CLOBETASOL PROPIONATE</t>
  </si>
  <si>
    <t>CLOBETASOL 0.05% CRM 15 GM</t>
  </si>
  <si>
    <t>CLOBETASOL 0.05% CRM 30 GM</t>
  </si>
  <si>
    <t>CLOBETASOL 0.05% CRM 60 GM</t>
  </si>
  <si>
    <t>CLOBETASOL 0.05% ONT 15 GM</t>
  </si>
  <si>
    <t>CLOBETASOL 0.05% ONT 30 GM</t>
  </si>
  <si>
    <t>CLOBETASOL 0.05% ONT 60 GM</t>
  </si>
  <si>
    <t>CLOBETASOL PROP 0.05% FOAM 50 GM</t>
  </si>
  <si>
    <t>CLOBETASOL PROP 0.05% SHAMPOO 118 ML</t>
  </si>
  <si>
    <t>CLOBETASOL PROP 0.05% TOP SOL 25 ML</t>
  </si>
  <si>
    <t>CLOBETASOL PROP 0.05% TOP SOL 50 ML</t>
  </si>
  <si>
    <t>CLOMIPRAMINE HCL</t>
  </si>
  <si>
    <t>CLOMIPRAMINE 25 MG CAP 90</t>
  </si>
  <si>
    <t>CLOMIPRAMINE 50 MG CAP 90</t>
  </si>
  <si>
    <t>CLOMIPRAMINE HCL 75MG CAP 100</t>
  </si>
  <si>
    <t>CLONAZEPAM</t>
  </si>
  <si>
    <t>CLONAZEPAM 0.5 MG TAB 100 UD</t>
  </si>
  <si>
    <t>CLONAZEPAM 1 MG TAB 100 UD</t>
  </si>
  <si>
    <t>CLONIDINE</t>
  </si>
  <si>
    <t>CLONIDINE 0.2 MG PAT 4</t>
  </si>
  <si>
    <t>CLONIDINE HCL</t>
  </si>
  <si>
    <t>CLONIDINE HCL 0.1 MG TAB 100 AHP</t>
  </si>
  <si>
    <t>CLONIDINE HCL 0.1 MG TAB 100 UD</t>
  </si>
  <si>
    <t>CLONIDINE HCL 0.1 MG TAB 500 AHP</t>
  </si>
  <si>
    <t>CLONIDINE HCL 0.2 MG TAB 100 AHP</t>
  </si>
  <si>
    <t>CLONIDINE HCL 0.2 MG TAB 100 UD</t>
  </si>
  <si>
    <t>CLONIDINE HCL 0.2 MG TAB 500</t>
  </si>
  <si>
    <t>CLONIDINE HCL 0.2 MG TAB 500 AHP</t>
  </si>
  <si>
    <t>CLONIDINE HCL 0.3 MG TAB 100 AHP</t>
  </si>
  <si>
    <t>CLOPIDOGREL BISULFATE</t>
  </si>
  <si>
    <t>CLOPIDOGREL 75 MG TAB 100 UD</t>
  </si>
  <si>
    <t>CLOPIDOGREL 75 MG TAB 100 UD AHP</t>
  </si>
  <si>
    <t>CLOPIDOGREL 75 MG TAB 90</t>
  </si>
  <si>
    <t>CLOTRIMAZOLE</t>
  </si>
  <si>
    <t>CLOTRIMAZOLE 1% CREAM 28GM PERRIGO</t>
  </si>
  <si>
    <t>CLOTRIMAZOLE/BETAMETHASONE DIP</t>
  </si>
  <si>
    <t>CLOTRIMAZOLE-BETAMETH 1-0.05% CRM 15 GM</t>
  </si>
  <si>
    <t>CLOZAPINE</t>
  </si>
  <si>
    <t>CLOZAPINE 100 MG TAB 100 UD</t>
  </si>
  <si>
    <t>CLOZAPINE 25 MG TAB 100 UD</t>
  </si>
  <si>
    <t>CODEINE SULFATE</t>
  </si>
  <si>
    <t>CODEINE SULFATE 15 MG TAB 4X25 RN</t>
  </si>
  <si>
    <t>CODEINE SULFATE 30 MG TAB 4X25 RN</t>
  </si>
  <si>
    <t>COLCHICINE</t>
  </si>
  <si>
    <t>COLCHICINE 0.6 MG TAB 100</t>
  </si>
  <si>
    <t>BRIMONIDINE TARTRATE/TIMOLOL</t>
  </si>
  <si>
    <t>COMBIGAN 0.2/ 0.5% SOL 5 ML</t>
  </si>
  <si>
    <t>0.2/0.5%</t>
  </si>
  <si>
    <t>IPRATROPIUM/ALBUTEROL SULFATE</t>
  </si>
  <si>
    <t>COMBIVENT RESPIM INH 4 GM</t>
  </si>
  <si>
    <t>EMTRICITA/RILPIVIRINE/TENOF DF</t>
  </si>
  <si>
    <t>COMPLERA TAB 30</t>
  </si>
  <si>
    <t>PODOFILOX</t>
  </si>
  <si>
    <t>CONDYLOX 0.5 % GEL 3.5 GM</t>
  </si>
  <si>
    <t>GLATIRAMER ACETATE</t>
  </si>
  <si>
    <t>COPAXONE 20 MG/1ML SYG 30X1 ML</t>
  </si>
  <si>
    <t>20/1</t>
  </si>
  <si>
    <t>COPAXONE 40 MG PFS 12X1 ML</t>
  </si>
  <si>
    <t>IVABRADINE HCL</t>
  </si>
  <si>
    <t>CORLANOR 5MG TAB 60</t>
  </si>
  <si>
    <t>HYDROCORTISONE</t>
  </si>
  <si>
    <t>CORTEF 5 MG TAB 50</t>
  </si>
  <si>
    <t>COVERLET BNDG .75X3 BDG 100</t>
  </si>
  <si>
    <t>CRANBERRY FRUIT EXTRACT</t>
  </si>
  <si>
    <t>CRANBERRY EXTRACT CAPSULE 60CT WINDML</t>
  </si>
  <si>
    <t>LIPASE/PROTEASE/AMYLASE</t>
  </si>
  <si>
    <t>CREON 12000 CAP 100</t>
  </si>
  <si>
    <t>CREON 24000 CAP 100</t>
  </si>
  <si>
    <t>CREON 24000 CAP 250</t>
  </si>
  <si>
    <t>CREON 6000 CAP 100</t>
  </si>
  <si>
    <t>ROSUVASTATIN CALCIUM</t>
  </si>
  <si>
    <t>CRESTOR 40 MG TAB 30</t>
  </si>
  <si>
    <t>CRESTOR 20 MG TAB 90</t>
  </si>
  <si>
    <t>CROMOLYN SODIUM</t>
  </si>
  <si>
    <t>CROMOLYN SOD 20 MG-2 ML INH 60X2 ML</t>
  </si>
  <si>
    <t>DAPTOMYCIN</t>
  </si>
  <si>
    <t>CUBICIN 500 MG VL 10 ML</t>
  </si>
  <si>
    <t>CYANOCOBALAMIN (VITAMIN B-12)</t>
  </si>
  <si>
    <t>CYANOCOBALAMIN 1000 MCG-ML VL 25X1 ML</t>
  </si>
  <si>
    <t>CYCLOBENZAPRINE HCL</t>
  </si>
  <si>
    <t>CYCLOBENZAPRINE HCL 10 MG TAB 100</t>
  </si>
  <si>
    <t>CYCLOBENZAPRINE HCL 10 MG TAB 100 UD</t>
  </si>
  <si>
    <t>CYCLOBENZAPRINE HCL 10 MG TAB 500</t>
  </si>
  <si>
    <t>CYCLOPENTOLATE HCL</t>
  </si>
  <si>
    <t>CYCLOPENTOLATE 1% OPH SOL 15 ML</t>
  </si>
  <si>
    <t>CYCLOPENTOLATE HCL 0.5% O/S 15 ML</t>
  </si>
  <si>
    <t>CYCLOSPORINE, MODIFIED</t>
  </si>
  <si>
    <t>CYCLOSPORINE MOD 100 MG SGC 30 UD</t>
  </si>
  <si>
    <t>CYCLOSPORINE MOD 25 MG SGC 30 UD</t>
  </si>
  <si>
    <t>SODIUM HYPOCHLORITE</t>
  </si>
  <si>
    <t>DAKINS ANTISEPTIC SOLUTION 0.5% 16OZ</t>
  </si>
  <si>
    <t>DAPSONE</t>
  </si>
  <si>
    <t>DAPSONE 100 MG BP TAB 2X15</t>
  </si>
  <si>
    <t>MG BP</t>
  </si>
  <si>
    <t>DAPTOMYCIN 500 MG-10ML SDV</t>
  </si>
  <si>
    <t>MG10ML</t>
  </si>
  <si>
    <t>SODIUM CHLORIDE</t>
  </si>
  <si>
    <t>DEEP SEA NASAL SPRAY 44ML MAJOR</t>
  </si>
  <si>
    <t>DELZICOL 400 MG CAP 180</t>
  </si>
  <si>
    <t>DELZICOL DR 400 MG CAP 180</t>
  </si>
  <si>
    <t>MG DR</t>
  </si>
  <si>
    <t>METHYLPREDNISOLONE ACETATE</t>
  </si>
  <si>
    <t>DEPO MEDROL 40 MG-ML VL 25X1 ML</t>
  </si>
  <si>
    <t>DEPO MEDROL 80 MG-ML VL 1 ML</t>
  </si>
  <si>
    <t>MEDROXYPROGESTERONE ACETATE</t>
  </si>
  <si>
    <t>DEPO PROVERA 400 MG VL 2.5 ML</t>
  </si>
  <si>
    <t>TESTOSTERONE CYPIONATE</t>
  </si>
  <si>
    <t>DEPO TESTOSTERONE 200 MG-ML VL 1 ML</t>
  </si>
  <si>
    <t>EMTRICITABINE/TENOFOV ALAFENAM</t>
  </si>
  <si>
    <t>DESCOVY 200/25 MG TAB 30</t>
  </si>
  <si>
    <t>200/</t>
  </si>
  <si>
    <t>DESIPRAMINE HCL</t>
  </si>
  <si>
    <t>DESIPRAMINE 25 MG TAB 100</t>
  </si>
  <si>
    <t>DESIPRAMINE 75 MG TAB 100</t>
  </si>
  <si>
    <t>DESMOPRESSIN ACETATE</t>
  </si>
  <si>
    <t>DESMOPRESSIN ACET 0.1 MG TAB 100</t>
  </si>
  <si>
    <t>DESMOPRESSIN ACET 0.2 MG TAB 100</t>
  </si>
  <si>
    <t>DESMOPRESSIN ACETATE 0.1 MG TAB 100</t>
  </si>
  <si>
    <t>DEXAMETHASONE SODIUM PHOSPHATE</t>
  </si>
  <si>
    <t>DEXAMETHASONE 0.1% OPH SOL 5 ML</t>
  </si>
  <si>
    <t>% OPTH</t>
  </si>
  <si>
    <t>DEXAMETHASONE</t>
  </si>
  <si>
    <t>DEXAMETHASONE 0.5 MG-5 ML SOL 500 ML</t>
  </si>
  <si>
    <t>DEXAMETHASONE 2 MG TAB 100</t>
  </si>
  <si>
    <t>DEXAMETHASONE 2 MG TAB 100 UD</t>
  </si>
  <si>
    <t>DEXAMETHASONE 4 MG TAB 100</t>
  </si>
  <si>
    <t>DEXAMETHASONE 4 MG TAB 100 UD</t>
  </si>
  <si>
    <t>DEXTROSE 5 % IN WATER</t>
  </si>
  <si>
    <t>DEXTROSE-WATER 5% BAG 24X500 ML</t>
  </si>
  <si>
    <t>DEXTROSE 50 % IN WATER</t>
  </si>
  <si>
    <t>DEXTROSE-WATER 50% SYG 10X50 ML ANSUR</t>
  </si>
  <si>
    <t>ANSYR</t>
  </si>
  <si>
    <t>DIAZEPAM</t>
  </si>
  <si>
    <t>DIAZEPAM 5 MG TAB 100 UD</t>
  </si>
  <si>
    <t>DICLOFENAC SODIUM</t>
  </si>
  <si>
    <t>DICLOFENAC SOD 1% GEL 100GM</t>
  </si>
  <si>
    <t>DICLOFENAC SOD 50MG DR TAB 100 AHP</t>
  </si>
  <si>
    <t>DICLOFENAC SODIUM 0.1% OPH SOL 5 ML</t>
  </si>
  <si>
    <t>DICLOFENAC SODIUM 1% GEL 100 GM</t>
  </si>
  <si>
    <t>DICLOFENAC SODIUM 75 MG DR TAB 100</t>
  </si>
  <si>
    <t>DICLOXACILLIN SODIUM</t>
  </si>
  <si>
    <t>DICLOXACILLIN 250 MG CAP 100</t>
  </si>
  <si>
    <t>DICLOXACILLIN 500 MG CAP 100</t>
  </si>
  <si>
    <t>DICYCLOMINE HCL</t>
  </si>
  <si>
    <t>DICYCLOMINE HCL 10 MG CAP 100</t>
  </si>
  <si>
    <t>DICYCLOMINE HCL 10 MG CAP 100 UD</t>
  </si>
  <si>
    <t>DICYCLOMINE HCL 20 MG TAB 100</t>
  </si>
  <si>
    <t>DICYCLOMINE HCL 20 MG TAB 100 UD</t>
  </si>
  <si>
    <t>DICYCLOMINE HCL 20 MG TAB 1000</t>
  </si>
  <si>
    <t>DIFLUNISAL</t>
  </si>
  <si>
    <t>DIFLUNISAL 500 MG TAB 100</t>
  </si>
  <si>
    <t>DIGOXIN</t>
  </si>
  <si>
    <t>DIGOXIN 500 MCG AMP 10X2 ML</t>
  </si>
  <si>
    <t>PHENYTOIN SODIUM EXTENDED</t>
  </si>
  <si>
    <t>DILANTIN 100 MG CAP 100</t>
  </si>
  <si>
    <t>PHENYTOIN</t>
  </si>
  <si>
    <t>DILANTIN INFT 50 MG CHW 100</t>
  </si>
  <si>
    <t>DILTIAZEM HCL</t>
  </si>
  <si>
    <t>DILTIAZEM CD 180 MG CAP 90</t>
  </si>
  <si>
    <t>DILTIAZEM CD 180 MG CAP 90 UU AHP</t>
  </si>
  <si>
    <t>DILTIAZEM CD 300 MG CAP 90 UU AHP</t>
  </si>
  <si>
    <t>DILTIAZEM HCL 120 MG SR CAP 100</t>
  </si>
  <si>
    <t>DILTIAZEM HCL 180 MG ER CAP 100 UD AHP</t>
  </si>
  <si>
    <t>DILTIAZEM HCL 30 MG TAB 100</t>
  </si>
  <si>
    <t>DILTIAZEM HCL 60 MG TAB 100</t>
  </si>
  <si>
    <t>DILTIAZEM HCL 90 MG TAB 100</t>
  </si>
  <si>
    <t>DILTIAZEM XR 120 MG CAP 100</t>
  </si>
  <si>
    <t>DILTIAZEM XR 240 MG CAP 100</t>
  </si>
  <si>
    <t>DILT-XR 120 MG CAP 100</t>
  </si>
  <si>
    <t>DOCUSATE SODIUM</t>
  </si>
  <si>
    <t>DIOCTO 10MG/ML LIQUID 16OZ RUGBY</t>
  </si>
  <si>
    <t>DIPHENHYD 25MG CAPSULE 1000CT SANDOZ</t>
  </si>
  <si>
    <t>DIPHENHYD 50MG CAPSULE 1000CT MAJOR</t>
  </si>
  <si>
    <t>DIPHENHYD 50MG CAPSULE 1000CT SANDOZ</t>
  </si>
  <si>
    <t>DIPHENHYD 50MG CAPSULE 100CT MAJOR</t>
  </si>
  <si>
    <t>DIPHENHYDRAMINE 25 MG CAP 100 UD</t>
  </si>
  <si>
    <t>DIPHENHYDRAMINE 50 MG CAP 100 UD</t>
  </si>
  <si>
    <t>DIPHENHYDRAMINE HCL 25 MG CAP 1000</t>
  </si>
  <si>
    <t>DIPHENHYDRAMINE HCL 50 MG CAP 1000</t>
  </si>
  <si>
    <t>DIPHENHYDRAMINE HCL 50 MG-ML VL 25X1 ML</t>
  </si>
  <si>
    <t>DIPHENOXYLATE HCL/ATROPINE</t>
  </si>
  <si>
    <t>DIPHENOX-ATRO 2.5-.025MG TAB 1000</t>
  </si>
  <si>
    <t>.025MG</t>
  </si>
  <si>
    <t>2.5-</t>
  </si>
  <si>
    <t>DIPHENOXYLATE-ATROP 2.5-0.025 MG TAB 100</t>
  </si>
  <si>
    <t>2.5/</t>
  </si>
  <si>
    <t>DIVALPROEX SODIUM</t>
  </si>
  <si>
    <t>DIVALPROEX SOD 125 MG CAP SPRINK 100</t>
  </si>
  <si>
    <t>MG SPR</t>
  </si>
  <si>
    <t>DIVALPROEX SOD 500 MG DR TAB 100</t>
  </si>
  <si>
    <t>DIVALPROEX SOD 500 MG DR TAB 500</t>
  </si>
  <si>
    <t>DIVALPROEX SOD 500 MG ER TAB 100 AHP</t>
  </si>
  <si>
    <t>DIVALPROEX SOD 500 MG ER TAB 500 AHP</t>
  </si>
  <si>
    <t>DIVALPROEX SOD DR 250 MG TAB 100 UD AHP</t>
  </si>
  <si>
    <t>DIVALPROEX SOD DR 250 MG TAB 500</t>
  </si>
  <si>
    <t>DIVALPROEX SOD DR 500MG TAB 9X10UD AHP</t>
  </si>
  <si>
    <t>DIVALPROEX SOD ER 250 MG TAB 100 AHP</t>
  </si>
  <si>
    <t>DOCUSATE SODIUM 100 MG SGC 100 UD</t>
  </si>
  <si>
    <t>DOFETILIDE</t>
  </si>
  <si>
    <t>DOFETILIDE 250 MCG CAP 60</t>
  </si>
  <si>
    <t>DOK 100 MG SGC 1000</t>
  </si>
  <si>
    <t>DONEPEZIL HCL</t>
  </si>
  <si>
    <t>DONEPEZIL HCL 10 MG TAB 30</t>
  </si>
  <si>
    <t>DONEPEZIL HCL 5 MG TAB 90</t>
  </si>
  <si>
    <t>DORZOLAMIDE HCL</t>
  </si>
  <si>
    <t>DORZOLAMIDE HCL 2% OPH SOL 10 ML</t>
  </si>
  <si>
    <t>DORZOLAMIDE HCL/TIMOLOL MALEAT</t>
  </si>
  <si>
    <t>DORZOLAMIDE-TIMOLOL 2-0.5% OPH SOL 10 ML</t>
  </si>
  <si>
    <t>2/</t>
  </si>
  <si>
    <t>DOXAZOSIN MESYLATE</t>
  </si>
  <si>
    <t>DOXAZOSIN 4MG TAB 100</t>
  </si>
  <si>
    <t>DOXAZOSIN MES 2 MG TAB 100</t>
  </si>
  <si>
    <t>DOXAZOSIN MES 4 MG TAB 100</t>
  </si>
  <si>
    <t>DOXEPIN HCL</t>
  </si>
  <si>
    <t>DOXEPIN HCL 10 MG CAP 100</t>
  </si>
  <si>
    <t>DOXEPIN HCL 10 MG-ML SOL 118 ML</t>
  </si>
  <si>
    <t>DOXEPIN HCL 100 MG CAP 100</t>
  </si>
  <si>
    <t>DOXEPIN HCL 150 MG CAP 100</t>
  </si>
  <si>
    <t>DOXEPIN HCL 25 MG CAP 100</t>
  </si>
  <si>
    <t>DOXEPIN HCL 25 MG CAP 100 UD</t>
  </si>
  <si>
    <t>DOXEPIN HCL 50 MG CAP 100</t>
  </si>
  <si>
    <t>DOXEPIN HCL 50 MG CAP 100 UD</t>
  </si>
  <si>
    <t>DOXEPIN HCL 75 MG CAP 100</t>
  </si>
  <si>
    <t>DOXYCYCLINE MONOHYDRATE</t>
  </si>
  <si>
    <t>DOXYCYCLINE MONO 100 MG TAB 250</t>
  </si>
  <si>
    <t>DOXYCYCLINE MONO 100 MG TAB 50</t>
  </si>
  <si>
    <t>DULOXETINE HCL</t>
  </si>
  <si>
    <t>DULOXETINE 20 MG DR CAP 60</t>
  </si>
  <si>
    <t>DULOXETINE 30 MG DR CAP 90 AHP</t>
  </si>
  <si>
    <t>DULOXETINE HCL 60 MG DR CAP 1000</t>
  </si>
  <si>
    <t>SALICYLIC ACID</t>
  </si>
  <si>
    <t>DUOFILM WART REMOVER LIQUID 0.33OZ</t>
  </si>
  <si>
    <t>DIFLUPREDNATE</t>
  </si>
  <si>
    <t>DUREZOL 0.05 % DRP 5 ML</t>
  </si>
  <si>
    <t>CARBAMIDE PEROXIDE</t>
  </si>
  <si>
    <t>EAR DROPS CARBAMDE PERXIDE 6.5% DRP 15ML</t>
  </si>
  <si>
    <t>PIMECROLIMUS</t>
  </si>
  <si>
    <t>ELIDEL 1 % CRM 60 GM</t>
  </si>
  <si>
    <t>APIXABAN</t>
  </si>
  <si>
    <t>ELIQUIS 2.5 MG TAB 60</t>
  </si>
  <si>
    <t>ELIQUIS 5 MG TAB 60</t>
  </si>
  <si>
    <t>PENTOSAN POLYSULFATE SODIUM</t>
  </si>
  <si>
    <t>ELMIRON 100 MG CAP 100</t>
  </si>
  <si>
    <t>APREPITANT</t>
  </si>
  <si>
    <t>EMEND TRIFOLD 125MG(1)/80MG(2) KIT 3 UD</t>
  </si>
  <si>
    <t>80MG</t>
  </si>
  <si>
    <t>125/</t>
  </si>
  <si>
    <t>EMTRICITABINE</t>
  </si>
  <si>
    <t>EMTRIVA 200 MG CAP 30</t>
  </si>
  <si>
    <t>DARIFENACIN HYDROBROMIDE</t>
  </si>
  <si>
    <t>ENABLEX 7.5 MG TAB 30</t>
  </si>
  <si>
    <t>ENALAPRIL MALEATE</t>
  </si>
  <si>
    <t>ENALAPRIL MAL 10 MG TAB 1000</t>
  </si>
  <si>
    <t>ENALAPRIL MAL 2.5 MG TAB 100</t>
  </si>
  <si>
    <t>ENALAPRIL MAL 5 MG TAB 100</t>
  </si>
  <si>
    <t>ETANERCEPT</t>
  </si>
  <si>
    <t>ENBREL 50MG /ML SYG 4</t>
  </si>
  <si>
    <t>/ML</t>
  </si>
  <si>
    <t>50MG</t>
  </si>
  <si>
    <t>HEPATITIS B VIRUS VACCINE/PF</t>
  </si>
  <si>
    <t>ENGERIX B P/F 10 MCG/.5 SDV 10X0.5 ML</t>
  </si>
  <si>
    <t>MCG/.5</t>
  </si>
  <si>
    <t>ENOXAPARIN SODIUM</t>
  </si>
  <si>
    <t>ENOXAPARIN 100MG/1ML SYG 10X1ML</t>
  </si>
  <si>
    <t>MG/1ML</t>
  </si>
  <si>
    <t>ENOXAPARIN 120MG/0.8ML SYG 10X0.8ML</t>
  </si>
  <si>
    <t>/0.8ML</t>
  </si>
  <si>
    <t>ENOXAPARIN 150MG/1ML SYG 10X1ML</t>
  </si>
  <si>
    <t>ENOXAPARIN 30MG/0.3ML SYG 10</t>
  </si>
  <si>
    <t>/0.3ML</t>
  </si>
  <si>
    <t>30MG</t>
  </si>
  <si>
    <t>ENOXAPARIN 40MG/0.4ML SYG 10X0.4ML</t>
  </si>
  <si>
    <t>/0.4ML</t>
  </si>
  <si>
    <t>40MG</t>
  </si>
  <si>
    <t>ENOXAPARIN 80MG/0.8ML SYG 10X0.8ML</t>
  </si>
  <si>
    <t>ENOXAPARIN SOD 100 MG-ML SYG 10</t>
  </si>
  <si>
    <t>ENOXAPARIN SOD 120 MG-0.8 ML SYG 10</t>
  </si>
  <si>
    <t>ENOXAPARIN SOD 150 MG-ML SYG 10</t>
  </si>
  <si>
    <t>ENOXAPARIN SOD 40 MG-0.4 ML SYG 10</t>
  </si>
  <si>
    <t>ENOXAPARIN SOD 80 MG-0.8 ML SYG 10</t>
  </si>
  <si>
    <t>ENTECAVIR 0.5MG TAB 30CT</t>
  </si>
  <si>
    <t>SACUBITRIL/VALSARTAN</t>
  </si>
  <si>
    <t>ENTRESTO FCT 24/ 26MG TAB 60</t>
  </si>
  <si>
    <t>26MG</t>
  </si>
  <si>
    <t>24/</t>
  </si>
  <si>
    <t>ENTRESTO FCT 49/ 51MG TAB 60</t>
  </si>
  <si>
    <t>51MG</t>
  </si>
  <si>
    <t>49/</t>
  </si>
  <si>
    <t>SOFOSBUVIR/VELPATASVIR</t>
  </si>
  <si>
    <t>EPCLUSA 400/100 MG TAB 28</t>
  </si>
  <si>
    <t>100MG</t>
  </si>
  <si>
    <t>400/</t>
  </si>
  <si>
    <t>EPINEPHRINE</t>
  </si>
  <si>
    <t>EPINEPHRINE 0.3 MG AUTO INJ PFS 2</t>
  </si>
  <si>
    <t>EPINEPHRINE 1 MG-ML AMP 25X1 ML</t>
  </si>
  <si>
    <t>EPIPEN 0.3 MG KIT 2</t>
  </si>
  <si>
    <t>LAMIVUDINE</t>
  </si>
  <si>
    <t>EPIVIR 10 MG/ML SOL 240 ML</t>
  </si>
  <si>
    <t>EPLERENONE</t>
  </si>
  <si>
    <t>EPLERENONE 25 MG TAB 30</t>
  </si>
  <si>
    <t>EPLERENONE 25 MG TAB 90</t>
  </si>
  <si>
    <t>EPLERENONE 50 MG TAB 90</t>
  </si>
  <si>
    <t>EPZICOM 600/ 300MG TAB 30</t>
  </si>
  <si>
    <t>300 MG</t>
  </si>
  <si>
    <t>600/</t>
  </si>
  <si>
    <t>ERYTHROMYCIN BASE</t>
  </si>
  <si>
    <t>ERY-TAB DR 500 MG TAB 100</t>
  </si>
  <si>
    <t>ERYTHROMYCIN 0.5% OPTH OINT 3.5 GM</t>
  </si>
  <si>
    <t>ERYTHROMYCIN BASE/ETHANOL</t>
  </si>
  <si>
    <t>ERYTHROMYCIN 2 % TOPC GEL 30 GM</t>
  </si>
  <si>
    <t>% TOPC</t>
  </si>
  <si>
    <t>ERYTHROMYCIN BASE 2% GEL 30 GM</t>
  </si>
  <si>
    <t>ERYTHROMYCIN BASE 2% TOP SOL 59 ML</t>
  </si>
  <si>
    <t>ESCITALOPRAM OXALATE</t>
  </si>
  <si>
    <t>ESCITALOPRAM 20 MG TAB 90</t>
  </si>
  <si>
    <t>ESCITALOPRAM 5 MG TAB 100</t>
  </si>
  <si>
    <t>ESOMEPRAZOLE MAGNESIUM</t>
  </si>
  <si>
    <t>ESOMEPRAZOLE MAGNESIUM 40 MG DR CAP 30</t>
  </si>
  <si>
    <t>ESOMEPRAZOLE MG 20MG DR CAP 90</t>
  </si>
  <si>
    <t>HYDROQUINONE</t>
  </si>
  <si>
    <t>ESOTERICA FADE CREAM NIGHT 2.5OZ</t>
  </si>
  <si>
    <t>FADE</t>
  </si>
  <si>
    <t>NIT</t>
  </si>
  <si>
    <t>ESTRADIOL</t>
  </si>
  <si>
    <t>ESTRADIOL 1MG TAB 100</t>
  </si>
  <si>
    <t>ESTRADIOL 2MG TAB 100</t>
  </si>
  <si>
    <t>ESTRADIOL VALERATE</t>
  </si>
  <si>
    <t>ESTRADIOL 40 MG-ML VL 5 ML</t>
  </si>
  <si>
    <t>ETHAMBUTOL HCL</t>
  </si>
  <si>
    <t>ETHAMBUTOL 400 MG TAB 100</t>
  </si>
  <si>
    <t>LANOLIN ALCOHOL/MO/W.PET/CERES</t>
  </si>
  <si>
    <t>EUCERIN CREAM TUBE 2OZ</t>
  </si>
  <si>
    <t>EUCERIN FACE CREAM Q10 SENSITIVE 1.7OZ</t>
  </si>
  <si>
    <t>LANOLIN/MINERAL OIL</t>
  </si>
  <si>
    <t>EUCERIN LOTION 8.4OZ</t>
  </si>
  <si>
    <t>ATAZANAVIR SULFATE/COBICISTAT</t>
  </si>
  <si>
    <t>EVOTAZ 300MG/150MG TAB 30</t>
  </si>
  <si>
    <t>150MG</t>
  </si>
  <si>
    <t>300/</t>
  </si>
  <si>
    <t>DEFERASIROX</t>
  </si>
  <si>
    <t>EXJADE500 MG TAB 30 ASD</t>
  </si>
  <si>
    <t>EYE IRRIGATING SOL 118ML RUGBY</t>
  </si>
  <si>
    <t>EYE WASH O/S 118ML</t>
  </si>
  <si>
    <t>FAMCICLOVIR</t>
  </si>
  <si>
    <t>FAMCICLOVIR 125 MG TAB 30</t>
  </si>
  <si>
    <t>FAMCICLOVIR 500 MG TAB 30</t>
  </si>
  <si>
    <t>FAMOTIDINE</t>
  </si>
  <si>
    <t>FAMOTIDINE 20 MG TAB 100 AHP</t>
  </si>
  <si>
    <t>FENTANYL</t>
  </si>
  <si>
    <t>FENTANYL 12 MCG/HR MTX PATCH 5</t>
  </si>
  <si>
    <t>MCG/HR</t>
  </si>
  <si>
    <t>FENTANYL 25 MCG/HR MTX PATCH 5</t>
  </si>
  <si>
    <t>FENTANYL 75 MCG/HR MTX PATCH 5</t>
  </si>
  <si>
    <t>FENTANYL TRANSDERM SYS 12MCG-HR 5CT</t>
  </si>
  <si>
    <t>MCG-HR</t>
  </si>
  <si>
    <t>FERROUS GLUCONATE</t>
  </si>
  <si>
    <t>FERROUS GLUC 324 MG TAB 1000</t>
  </si>
  <si>
    <t>FERROUS SULFATE</t>
  </si>
  <si>
    <t>FERROUS SULFATE 220MG/5ML ELIXR 16OZ HIT</t>
  </si>
  <si>
    <t>FERROUS SULFATE 325 MG RED TAB 100 UD</t>
  </si>
  <si>
    <t>FERROUS SULFATE 325MG TAB 1000CT MAJ</t>
  </si>
  <si>
    <t>AZELAIC ACID</t>
  </si>
  <si>
    <t>FINACEA 15 % GEL 50 GM</t>
  </si>
  <si>
    <t>FINASTERIDE</t>
  </si>
  <si>
    <t>FINASTERIDE 5 MG TAB 30</t>
  </si>
  <si>
    <t>FIRST MOUTHWASH BLM LIQ 236 ML</t>
  </si>
  <si>
    <t>BLM</t>
  </si>
  <si>
    <t>FIRST OMEPRAZ 2 MG/ML KIT 10 OZ</t>
  </si>
  <si>
    <t>FIRST VANCOMYCIN 25MG/ML KIT 10 OZ</t>
  </si>
  <si>
    <t>25MG</t>
  </si>
  <si>
    <t>FIRST-PROGEST 200 MG SUP 30</t>
  </si>
  <si>
    <t>00054001125</t>
  </si>
  <si>
    <t>FLECAINIDE ACETATE</t>
  </si>
  <si>
    <t>FLECAINIDE 100 MG TAB 100</t>
  </si>
  <si>
    <t>FLECAINIDE 100 MG TAB 60</t>
  </si>
  <si>
    <t>MINERAL OIL</t>
  </si>
  <si>
    <t>FLEET ENEMA MINERAL OIL 4.5OZ</t>
  </si>
  <si>
    <t>SODIUM PHOSPHATE,MONO-DIBASIC</t>
  </si>
  <si>
    <t>FLEET ENEMA SINGLE 4.5OZ</t>
  </si>
  <si>
    <t>FLUTICASONE PROPIONATE</t>
  </si>
  <si>
    <t>FLOVENT HFA 220 MCG INH 12 GM</t>
  </si>
  <si>
    <t>FLOVENT HFA 44 MCG INH 10.6 GM</t>
  </si>
  <si>
    <t>PROPARACAINE/FLUORESCEIN SOD</t>
  </si>
  <si>
    <t>FLUCAINE EYE DRP 5 ML</t>
  </si>
  <si>
    <t>EYE</t>
  </si>
  <si>
    <t>FLUCONAZOLE</t>
  </si>
  <si>
    <t>FLUCONAZOLE 100 MG TAB 30</t>
  </si>
  <si>
    <t>FLUCONAZOLE 150 MG TAB 12 AHP</t>
  </si>
  <si>
    <t>MG UOU</t>
  </si>
  <si>
    <t>FLUCONAZOLE 200 MG TAB 100</t>
  </si>
  <si>
    <t>FLUCONAZOLE IN NACL,ISO-OSM</t>
  </si>
  <si>
    <t>FLUCONAZOLE-NACL 200 MG BAG 6X100 ML</t>
  </si>
  <si>
    <t>FLUDROCORTISONE ACETATE</t>
  </si>
  <si>
    <t>FLUDROCORTISONE ACET 0.1 MG TAB 500</t>
  </si>
  <si>
    <t>FLUOCINONIDE</t>
  </si>
  <si>
    <t>FLUOCINONIDE 0.1 % CRM 30 GM</t>
  </si>
  <si>
    <t>FLUOROURACIL</t>
  </si>
  <si>
    <t>FLUOROURACIL 5% CRM 40 GM</t>
  </si>
  <si>
    <t>FLUOXETINE HCL</t>
  </si>
  <si>
    <t>FLUOXETINE HCL 10 MG CAP 100 UD</t>
  </si>
  <si>
    <t>FLUOXETINE HCL 10 MG CAP 1000</t>
  </si>
  <si>
    <t>FLUOXETINE HCL 20 MG CAP 100 UD AHP</t>
  </si>
  <si>
    <t>FLUOXETINE HCL 20 MG CAP 1000</t>
  </si>
  <si>
    <t>FLUOXETINE HCL 20 MG CAP 2000</t>
  </si>
  <si>
    <t>FLUOXETINE HCL 20 MG-5 ML SOL 120 ML</t>
  </si>
  <si>
    <t>FLUPHENAZINE DECANOATE</t>
  </si>
  <si>
    <t>FLUPHENAZINE DEC 25 MG-ML MDV 5 ML</t>
  </si>
  <si>
    <t>MG-ML</t>
  </si>
  <si>
    <t>FLUPHENAZINE DEC 25 MG-ML VL 1X5 ML</t>
  </si>
  <si>
    <t>FLUPHENAZINE HCL</t>
  </si>
  <si>
    <t>FLUPHENAZINE HCL 10 MG TAB 100</t>
  </si>
  <si>
    <t>FLUPHENAZINE HCL 10 MG TAB 100 UD</t>
  </si>
  <si>
    <t>FLUPHENAZINE HCL 10 MG TAB 500</t>
  </si>
  <si>
    <t>FLUPHENAZINE HCL 2.5 MG TAB 100 UD</t>
  </si>
  <si>
    <t>FLUPHENAZINE HCL 10MG TAB 5X6 UD AHP</t>
  </si>
  <si>
    <t>FLUPHENAZINE HCL 2.5 MG-ML VL 1X10 ML</t>
  </si>
  <si>
    <t>FLUPHENAZINE HCL 5 MG TAB 100</t>
  </si>
  <si>
    <t>FLUPHENAZINE HCL 5 MG TAB 100 UD</t>
  </si>
  <si>
    <t>FLUPHENAZINE HCL 5 MG TAB 500</t>
  </si>
  <si>
    <t>FLUPHENAZINE HCL 5 MG-ML ORAL CONC 118ML</t>
  </si>
  <si>
    <t>FLUPHENAZINE HCL 5MG TAB 5X6 UD AHP</t>
  </si>
  <si>
    <t>BENOXINATE HCL/FLUORESCEIN SOD</t>
  </si>
  <si>
    <t>FLUROX 0.25/0.4 % O/S 5 ML</t>
  </si>
  <si>
    <t>FLUTICASONE PROP 50 MCG NAS SPY 16 GM</t>
  </si>
  <si>
    <t>FLUVOXAMINE MALEATE</t>
  </si>
  <si>
    <t>FLUVOXAMINE MALEATE 100 MG TAB 100</t>
  </si>
  <si>
    <t>FLUVOXAMINE MALEATE 50 MG TAB 100</t>
  </si>
  <si>
    <t>FOLIC ACID</t>
  </si>
  <si>
    <t>FOLIC ACID 1 MG TAB 100</t>
  </si>
  <si>
    <t>FOLIC ACID 1 MG TAB 100 UD AHP</t>
  </si>
  <si>
    <t>FOLIC ACID 1 MG TAB 1000</t>
  </si>
  <si>
    <t>LANTHANUM CARBONATE</t>
  </si>
  <si>
    <t>FOSRENOL 500 MG CHW 2X45</t>
  </si>
  <si>
    <t>FOSRENOL CHW 1000 MG TAB 9X10</t>
  </si>
  <si>
    <t>FUROSEMIDE</t>
  </si>
  <si>
    <t>FUROSEMIDE 100 MG-10 ML VL 25X10 ML</t>
  </si>
  <si>
    <t>MG/10M</t>
  </si>
  <si>
    <t>FUROSEMIDE 20 MG TAB 100 UD</t>
  </si>
  <si>
    <t>FUROSEMIDE 20 MG TAB 1000</t>
  </si>
  <si>
    <t>FUROSEMIDE 20MG TAB 100</t>
  </si>
  <si>
    <t>FUROSEMIDE 20MG TAB 1000</t>
  </si>
  <si>
    <t>FUROSEMIDE 40 MG SDV 25X4 ML</t>
  </si>
  <si>
    <t>FUROSEMIDE 40 MG TAB 100</t>
  </si>
  <si>
    <t>FUROSEMIDE 40 MG TAB 100 UD</t>
  </si>
  <si>
    <t>FUROSEMIDE 40MG TAB 100</t>
  </si>
  <si>
    <t>FUROSEMIDE 40MG TAB 1000</t>
  </si>
  <si>
    <t>FUROSEMIDE 80 MG TAB 1000</t>
  </si>
  <si>
    <t>FUROSEMIDE 80 MG TAB 500</t>
  </si>
  <si>
    <t>GABAPENTIN</t>
  </si>
  <si>
    <t>GABAPENTIN 100 MG CAP 100 UD</t>
  </si>
  <si>
    <t>GABAPENTIN 100 MG CAP 500</t>
  </si>
  <si>
    <t>GABAPENTIN 300 MG CAP 100</t>
  </si>
  <si>
    <t>GABAPENTIN 300 MG CAP 100 UD</t>
  </si>
  <si>
    <t>GABAPENTIN 300 MG CAP 100 UD AHP</t>
  </si>
  <si>
    <t>GABAPENTIN 300 MG CAP 500</t>
  </si>
  <si>
    <t>GABAPENTIN 400 MG CAP 100</t>
  </si>
  <si>
    <t>GABAPENTIN 400 MG CAP 100 UD</t>
  </si>
  <si>
    <t>GABAPENTIN 400 MG CAP 500</t>
  </si>
  <si>
    <t>GABAPENTIN 600 MG TAB 100 AHP</t>
  </si>
  <si>
    <t>GABAPENTIN 600 MG TAB 500 AHP</t>
  </si>
  <si>
    <t>GABAPENTIN 600MG 100UD TABLETS AHP</t>
  </si>
  <si>
    <t>GABAPENTIN 600MG TAB (10X10) 100UD</t>
  </si>
  <si>
    <t>GABAPENTIN 800 MG TAB 100 AHP</t>
  </si>
  <si>
    <t>GABAPENTIN 800 MG TAB 500 AHP</t>
  </si>
  <si>
    <t>GATIFLOXACIN</t>
  </si>
  <si>
    <t>GATIFLOXACIN 0.5% OPH SOL 2.5 ML</t>
  </si>
  <si>
    <t>GATIFLOXACIN 0.5% OPH SOL 2.5ML</t>
  </si>
  <si>
    <t>SODIUM CHLORIDE/NAHCO3/KCL/PEG</t>
  </si>
  <si>
    <t>GAVILYTE-N SOL 4000 ML</t>
  </si>
  <si>
    <t>GEMFIBROZIL</t>
  </si>
  <si>
    <t>GEMFIBROZIL 600 MG TAB 100 UD AHP</t>
  </si>
  <si>
    <t>GEMFIBROZIL 600 MG TAB 500</t>
  </si>
  <si>
    <t>GEMFIBROZIL 600MG TAB 500</t>
  </si>
  <si>
    <t>GEMFIBROZIL 600MG TAB 60</t>
  </si>
  <si>
    <t>GENTAMICIN SULFATE</t>
  </si>
  <si>
    <t>GENTAK 0.3% OPH ONT 3.5 GM</t>
  </si>
  <si>
    <t>GENTAMICIN 0.3% OPH SOL 5 ML</t>
  </si>
  <si>
    <t>GENTAMICIN 80 MG-2 ML MDV 25X2 ML</t>
  </si>
  <si>
    <t>ELVITEG/COB/EMTRI/TENOF ALAFEN</t>
  </si>
  <si>
    <t>GENVOYA 150/150/200/10MG TAB 30</t>
  </si>
  <si>
    <t>/200MG</t>
  </si>
  <si>
    <t>ZIPRASIDONE HCL</t>
  </si>
  <si>
    <t>GEODON 40 MG CAP 60</t>
  </si>
  <si>
    <t>ZIPRASIDONE MESYLATE</t>
  </si>
  <si>
    <t>GEODON INJ SDV 20MG VL 10</t>
  </si>
  <si>
    <t>GEODON 80 MG CAP 60</t>
  </si>
  <si>
    <t>20MG</t>
  </si>
  <si>
    <t>SDV</t>
  </si>
  <si>
    <t>FINGOLIMOD HCL</t>
  </si>
  <si>
    <t>GILENYA HGC 0.5MG 30 CAPSULES</t>
  </si>
  <si>
    <t>IMATINIB MESYLATE</t>
  </si>
  <si>
    <t>GLEEVEC FCT 400 MG TAB 30 UD</t>
  </si>
  <si>
    <t>GLIPIZIDE</t>
  </si>
  <si>
    <t>GLIPIZIDE 10 MG TAB 1000</t>
  </si>
  <si>
    <t>GLIPIZIDE 5 MG TAB 100</t>
  </si>
  <si>
    <t>GLIPIZIDE 5 MG TAB 100 UD</t>
  </si>
  <si>
    <t>GLIPIZIDE 5 MG TAB 1000</t>
  </si>
  <si>
    <t>GLUCAGON,HUMAN RECOMBINANT</t>
  </si>
  <si>
    <t>GLUCAGEN HYPO 1 MG KIT</t>
  </si>
  <si>
    <t>GLUCAGON EMER 1 MG KIT 1 ML</t>
  </si>
  <si>
    <t>GLUCOSAMINE/CHONDRO SU A</t>
  </si>
  <si>
    <t>GLUCOSAM CHOND 500/400MG TAB 180CT 21ST</t>
  </si>
  <si>
    <t>GLUCOSAMIN CHOND 500/400MG CAP 180CT MAJ</t>
  </si>
  <si>
    <t>GLUCOSAMINE SULFATE</t>
  </si>
  <si>
    <t>GLUCOSAMIN SULFAT 500MG CAPSULE 60CT MAJ</t>
  </si>
  <si>
    <t>DEXTROSE</t>
  </si>
  <si>
    <t>GLUTOSE 15 LEMON GEL 3X37.5GM PADDOCK</t>
  </si>
  <si>
    <t>GLYBURIDE</t>
  </si>
  <si>
    <t>GLYBURIDE 5 MG TAB 100 UD AHP</t>
  </si>
  <si>
    <t>GLYBURIDE 5 MG TAB 1000</t>
  </si>
  <si>
    <t>GLYBURIDE M 1.25 MG TAB 100</t>
  </si>
  <si>
    <t>GLYBURIDE M 2.5 MG TAB 100</t>
  </si>
  <si>
    <t>GLYBURIDE M 2.5 MG TAB 100 UD</t>
  </si>
  <si>
    <t>GLYBURIDE M 5 MG TAB 100</t>
  </si>
  <si>
    <t>GLYBURIDE M 5 MG TAB 100 UD</t>
  </si>
  <si>
    <t>GLYBURIDE M 5 MG TAB 1000</t>
  </si>
  <si>
    <t>GLYCOPYRROLATE</t>
  </si>
  <si>
    <t>GLYCOPYRROLATE 0.4 MG-2 ML SDV 25X2 ML</t>
  </si>
  <si>
    <t>GNP ANTACID ASST TAB 150</t>
  </si>
  <si>
    <t>MAG HYDROX/ALUMINUM HYD/SIMETH</t>
  </si>
  <si>
    <t>GNP ANTACID SUS 12 OZ</t>
  </si>
  <si>
    <t>GNP CALAMINE PLAIN LIQ 6 OZ</t>
  </si>
  <si>
    <t>GNP EAR WAX REMOVER DROP 0.5OZ</t>
  </si>
  <si>
    <t>PHENYLEPH/MINERAL OIL/PETROLAT</t>
  </si>
  <si>
    <t>GNP HEMORRH ONT 2 OZ</t>
  </si>
  <si>
    <t>PIPERONYL BUTOXIDE/PYRETHRINS</t>
  </si>
  <si>
    <t>GNP LICE TRMT SHM 4 OZ</t>
  </si>
  <si>
    <t>LORATADINE</t>
  </si>
  <si>
    <t>GNP LORATADIN 24HR 10 MG TAB 10</t>
  </si>
  <si>
    <t>EUCALYPTUS OIL/MENTHOL/CAMPHOR</t>
  </si>
  <si>
    <t>GNP MEDICATED CHST RUB JEL 3.53 OZ</t>
  </si>
  <si>
    <t>PHENYLEPHRINE HCL</t>
  </si>
  <si>
    <t>GNP PHENYLEP TAB 18</t>
  </si>
  <si>
    <t>PSEUDOEPHEDRINE HCL</t>
  </si>
  <si>
    <t>GNP PSEUDOEPHEDRN HCL 12H 120MG CAP 20CT</t>
  </si>
  <si>
    <t>GNP STOMACH RELIEF ORIG STRENGTH LIQ 4OZ</t>
  </si>
  <si>
    <t>SENNOSIDES/DOCUSATE SODIUM</t>
  </si>
  <si>
    <t>GNP STOOL SOFT AND LAX 8.6MG TAB 100CT</t>
  </si>
  <si>
    <t>GNP STOOL SOFTENER LIQUID 16 OZ</t>
  </si>
  <si>
    <t>TERBINAFINE HCL</t>
  </si>
  <si>
    <t>GNP TERBINAFI ATHL FOOT1% CRM 30 GM</t>
  </si>
  <si>
    <t>GUANFACINE HCL</t>
  </si>
  <si>
    <t>GUANFACINE HCL 1 MG TAB 100</t>
  </si>
  <si>
    <t>GUANFACINE HCL 2 MG TAB 100</t>
  </si>
  <si>
    <t>HALOBETASOL PROPIONATE</t>
  </si>
  <si>
    <t>HALOBETASOL PROPIONATE 0.05% CRM 50 GM</t>
  </si>
  <si>
    <t>% PROP</t>
  </si>
  <si>
    <t>HALCINONIDE</t>
  </si>
  <si>
    <t>HALOG 0.1 % CRM 30 GM</t>
  </si>
  <si>
    <t>HALOG 0.1 % CRM 60 GM</t>
  </si>
  <si>
    <t>HALOPERIDOL</t>
  </si>
  <si>
    <t>HALOPERIDOL 0.5 MG TAB 100 UD</t>
  </si>
  <si>
    <t>HALOPERIDOL 1 MG TAB 100</t>
  </si>
  <si>
    <t>HALOPERIDOL 1 MG TAB 100 UD</t>
  </si>
  <si>
    <t>HALOPERIDOL 10 MG TAB 100</t>
  </si>
  <si>
    <t>HALOPERIDOL 10 MG TAB 100 UD AHP</t>
  </si>
  <si>
    <t>HALOPERIDOL 2 MG TAB 100</t>
  </si>
  <si>
    <t>HALOPERIDOL 20 MG TAB 100</t>
  </si>
  <si>
    <t>HALOPERIDOL 5 MG TAB 100 UD</t>
  </si>
  <si>
    <t>HALOPERIDOL 5MG 1000 TABS</t>
  </si>
  <si>
    <t>HALOPERIDOL DECANOATE</t>
  </si>
  <si>
    <t>HALOPERIDOL DEC 100 MG-ML SDV 1 ML</t>
  </si>
  <si>
    <t>HALOPERIDOL DEC 50 MG-ML MDV 5 ML</t>
  </si>
  <si>
    <t>HALOPERIDOL DEC 50 MG-ML SDV 10X1 ML</t>
  </si>
  <si>
    <t>HALOPERIDOL DEC 50 MG-ML VL 1 ML</t>
  </si>
  <si>
    <t>HALOPERIDOL LACTATE</t>
  </si>
  <si>
    <t>HALOPERIDOL LAC 2 MG-ML SOL CONC 118 ML</t>
  </si>
  <si>
    <t>HALOPERIDOL LAC 5 MG-ML AMP 10X1 ML</t>
  </si>
  <si>
    <t>LEDIPASVIR/SOFOSBUVIR</t>
  </si>
  <si>
    <t>HARVONI 90MG/400MG TAB 28</t>
  </si>
  <si>
    <t>/400MG</t>
  </si>
  <si>
    <t>90MG</t>
  </si>
  <si>
    <t>HEPATITIS A VIRUS VACCINE/PF</t>
  </si>
  <si>
    <t>HAVRIX 1440 UN/ML SDV 10X1 ML</t>
  </si>
  <si>
    <t>UN/ML</t>
  </si>
  <si>
    <t>WITCH HAZEL</t>
  </si>
  <si>
    <t>HEMORRHOIDAL HYGIENE PAD 100CT GERITREX</t>
  </si>
  <si>
    <t>PADS</t>
  </si>
  <si>
    <t>HYG</t>
  </si>
  <si>
    <t>HEMORRHOIDAL SUPPOSITRORY 12CT RUGBY</t>
  </si>
  <si>
    <t>HEPARIN SODIUM,PORCINE</t>
  </si>
  <si>
    <t>HEPARIN LF 500 UN-5 ML VL 25X5 ML</t>
  </si>
  <si>
    <t>HEPARIN SOD 10 MU-ML SDV 25X1 ML</t>
  </si>
  <si>
    <t>UN</t>
  </si>
  <si>
    <t>10M</t>
  </si>
  <si>
    <t>HEPARIN SOD 5000 UN-ML VL 25X1 ML</t>
  </si>
  <si>
    <t>5M</t>
  </si>
  <si>
    <t>HEPARIN SODIUM 1000 UN-ML MDV 25X30 ML</t>
  </si>
  <si>
    <t>1M</t>
  </si>
  <si>
    <t>HEPARIN SODIUM 1000 UN-ML VL 25X1 ML</t>
  </si>
  <si>
    <t>HOMATROPINE HBR</t>
  </si>
  <si>
    <t>HOMATROPINE HBR 5% O/S 5 ML</t>
  </si>
  <si>
    <t>INSULIN LISPRO</t>
  </si>
  <si>
    <t>HUMALOG 100 UN/ML VL 10 ML</t>
  </si>
  <si>
    <t>INSULIN LISPRO PROTAMIN/LISPRO</t>
  </si>
  <si>
    <t>HUMALOG MIX 75/25 VL 10 ML</t>
  </si>
  <si>
    <t>75/25</t>
  </si>
  <si>
    <t>MIX</t>
  </si>
  <si>
    <t>HUMALOG VL 3 ML</t>
  </si>
  <si>
    <t>ADALIMUMAB</t>
  </si>
  <si>
    <t>HUMIRA 40 MG SYG 2X0.8 ML</t>
  </si>
  <si>
    <t>HYDRALAZINE HCL</t>
  </si>
  <si>
    <t>HYDRALAZINE 10 MG TAB 100</t>
  </si>
  <si>
    <t>HYDRALAZINE 100 MG TAB 100</t>
  </si>
  <si>
    <t>HYDRALAZINE 25 MG TAB 100</t>
  </si>
  <si>
    <t>HYDRALAZINE 25 MG TAB 1000</t>
  </si>
  <si>
    <t>HYDRALAZINE 50 MG TAB 1000</t>
  </si>
  <si>
    <t>MINERAL OIL/PETROLATUM,WHITE</t>
  </si>
  <si>
    <t>HYDROCERIN CREAM 4OZ GERITREX</t>
  </si>
  <si>
    <t>HYDROCHLOROTHIAZIDE</t>
  </si>
  <si>
    <t>HYDROCHLOROTHIAZIDE 12.5 MG CAP 100</t>
  </si>
  <si>
    <t>HYDROCHLOROTHIAZIDE 12.5 MG CAP 1000</t>
  </si>
  <si>
    <t>HYDROCHLOROTHIAZIDE 25 MG TAB 100</t>
  </si>
  <si>
    <t>HYDROCHLOROTHIAZIDE 25 MG TAB 100 UD</t>
  </si>
  <si>
    <t>HYDROCHLOROTHIAZIDE 25 MG TAB 100 UD AHP</t>
  </si>
  <si>
    <t>HYDROCHLOROTHIAZIDE 25 MG TAB 1000</t>
  </si>
  <si>
    <t>HYDROCHLOROTHIAZIDE 50 MG TAB 1000</t>
  </si>
  <si>
    <t>HYDROCODONE/ACETAMINOPHEN</t>
  </si>
  <si>
    <t>HYDROCOD-APAP 5-300 MG TAB 30 UD</t>
  </si>
  <si>
    <t>5-</t>
  </si>
  <si>
    <t>HYDROCODONE-ACETAMIN 5-300 MG TAB 100</t>
  </si>
  <si>
    <t>300MG</t>
  </si>
  <si>
    <t>5/</t>
  </si>
  <si>
    <t>HYDROCORTISONE 0.5% CREAM 1OZ FOUGERA</t>
  </si>
  <si>
    <t>HYDROCORTISONE 0.5% OINTMENT 1OZ FOUGERA</t>
  </si>
  <si>
    <t>HYDROCORTISONE 1% CRM 30GM</t>
  </si>
  <si>
    <t>HYDROCORTISONE 1% OINTMENT 30GM PERRIGO</t>
  </si>
  <si>
    <t>HYDROCORTISONE 2.5% CRM 30 GM</t>
  </si>
  <si>
    <t>HYDROCORTISONE 2.5% ONT 28.35 GM</t>
  </si>
  <si>
    <t>HYDROLATUM OINTMENT 2OZ DENISON</t>
  </si>
  <si>
    <t>HYDROMORPHONE HCL</t>
  </si>
  <si>
    <t>HYDROMORPHONE HCL 2 MG TAB 100 UD AHP</t>
  </si>
  <si>
    <t>HYDROMORPHONE HCL 2 MG/ML SDV 25X1 ML</t>
  </si>
  <si>
    <t>HYDROMORPHONE HCL 2 MG/ML VL 25X1 ML</t>
  </si>
  <si>
    <t>HYDROQUINONE 4% CRM 28.35 GM</t>
  </si>
  <si>
    <t>HYDROXYCHLOROQUINE SULFATE</t>
  </si>
  <si>
    <t>HYDROXYCHLOROQUINE SUL 200 MG TAB 500</t>
  </si>
  <si>
    <t>HYDROXYUREA</t>
  </si>
  <si>
    <t>HYDROXYUREA 500 MG CAP 100 UD AHP</t>
  </si>
  <si>
    <t>HYDROXYZINE PAMOATE</t>
  </si>
  <si>
    <t>HYDROXYZINE 25 MG CAP 500</t>
  </si>
  <si>
    <t>HYDROXYZINE HCL</t>
  </si>
  <si>
    <t>HYDROXYZINE HCL 10 MG-5 ML SYR 473 ML</t>
  </si>
  <si>
    <t>HYDROXYZINE HCL 10MG-5ML SOL 473ML</t>
  </si>
  <si>
    <t>MG-5ML</t>
  </si>
  <si>
    <t>HYDROXYZINE PAMOATE 25 MG CAP 100</t>
  </si>
  <si>
    <t>HYDROXYZINE PAMOATE 25 MG CAP 100 UD</t>
  </si>
  <si>
    <t>HYDROXYZINE PAMOATE 25 MG CAP 100 UD AHP</t>
  </si>
  <si>
    <t>HYDROXYZINE PAMOATE 50 MG CAP 100 UD</t>
  </si>
  <si>
    <t>HYDROXYZINE PAMOATE 50 MG CAP 100 UD AHP</t>
  </si>
  <si>
    <t>HYDROXYZINE PAMOATE 50 MG CAP 500</t>
  </si>
  <si>
    <t>IBUPROFEN</t>
  </si>
  <si>
    <t>IBUPROFEN 100 MG-5 ML SUS 473 ML</t>
  </si>
  <si>
    <t>IBUPROFEN 200 MG UOU TAB 250X2</t>
  </si>
  <si>
    <t>IBUPROFEN 200MG TAB BROWN 24CT MAJOR</t>
  </si>
  <si>
    <t>MGBRN</t>
  </si>
  <si>
    <t>IBUPROFEN 600 MG TAB 100 UD AHP</t>
  </si>
  <si>
    <t>IBUPROFEN 600 MG TAB 500</t>
  </si>
  <si>
    <t>IBUPROFEN 800 MG TAB 100</t>
  </si>
  <si>
    <t>IBUPROFEN 800 MG TAB 100 UD</t>
  </si>
  <si>
    <t>IBUPROFEN 800 MG TAB 500</t>
  </si>
  <si>
    <t>B2/VITS A,C,E/LUT/ZEAXANTH/MIN</t>
  </si>
  <si>
    <t>ICAPS LUTEIN TABLET 120CT</t>
  </si>
  <si>
    <t>IMIPRAMINE HCL</t>
  </si>
  <si>
    <t>IMIPRAMINE HCL 25MG TAB 100</t>
  </si>
  <si>
    <t>IMIPRAMINE HCL 50 MG TAB 100</t>
  </si>
  <si>
    <t>IMIQUIMOD</t>
  </si>
  <si>
    <t>IMIQUIMOD 5% CRM 24X0.25 GM UD</t>
  </si>
  <si>
    <t>RABIES VACC, HUMAN DIPLOID/PF</t>
  </si>
  <si>
    <t>IMOVAX SDV 1 ML</t>
  </si>
  <si>
    <t>INDAPAMIDE</t>
  </si>
  <si>
    <t>INDAPAMIDE 1.25 MG TAB 100</t>
  </si>
  <si>
    <t>INDOMETHACIN</t>
  </si>
  <si>
    <t>INDOMETHACIN 25 MG CAP 1000</t>
  </si>
  <si>
    <t>INDOMETHACIN 25 MG CAP 100 UD</t>
  </si>
  <si>
    <t>INDOMETHACIN 25MG CAP 100</t>
  </si>
  <si>
    <t>INDOMETHACIN 50 MG CAP 100</t>
  </si>
  <si>
    <t>INDOMETHACIN 50 MG CAP 100 UD</t>
  </si>
  <si>
    <t>INDOMETHACIN 75 MG ER CAP 60</t>
  </si>
  <si>
    <t>CHARCOAL/SORBITOL SOLUTION</t>
  </si>
  <si>
    <t>INSTA-CHAR SO 50 GM CHR LIQ 8 OZ</t>
  </si>
  <si>
    <t>GM CHR</t>
  </si>
  <si>
    <t>ETRAVIRINE</t>
  </si>
  <si>
    <t>INTELENCE 100 MG TAB 120</t>
  </si>
  <si>
    <t>INTELENCE 200 MG TAB 60</t>
  </si>
  <si>
    <t>ERTAPENEM SODIUM</t>
  </si>
  <si>
    <t>INVANZ 1 GM ADV 10X1 GM</t>
  </si>
  <si>
    <t>INVANZ 1 GM VL 10</t>
  </si>
  <si>
    <t>PALIPERIDONE</t>
  </si>
  <si>
    <t>INVEGA 3 MG TAB 30</t>
  </si>
  <si>
    <t>PALIPERIDONE PALMITATE</t>
  </si>
  <si>
    <t>INVEGA SUSTEN 117 MG SYG 0.75 ML</t>
  </si>
  <si>
    <t>INVEGA SUSTEN 156 MG SYG 1 ML</t>
  </si>
  <si>
    <t>INVEGA SUSTEN 234 MG SYG 1.5 ML</t>
  </si>
  <si>
    <t>INVEGA SUSTEN 78 MG SYG 0.50 ML</t>
  </si>
  <si>
    <t>IPRATROP BROMIDE 0.03% NAS SPY 30 ML</t>
  </si>
  <si>
    <t>IPRATROP BROMIDE 0.06% NAS SPY 15 ML</t>
  </si>
  <si>
    <t>IPRATROPIUM-ALBUT 0.5-3 MG INH 30X3ML UD</t>
  </si>
  <si>
    <t>/3MG</t>
  </si>
  <si>
    <t>IPRATROPIUM-ALBUT 0.5-3MG INH 30X3ML</t>
  </si>
  <si>
    <t>3MG</t>
  </si>
  <si>
    <t>0.5-</t>
  </si>
  <si>
    <t>IPRATROPIUM-ALBUTEROL 0.5-3MG INH 60X3ML</t>
  </si>
  <si>
    <t>IRBESARTAN</t>
  </si>
  <si>
    <t>IRBESARTAN 150 MG TAB 30</t>
  </si>
  <si>
    <t>IRBESARTAN 150 MG TAB 90</t>
  </si>
  <si>
    <t>IRBESARTAN 75 MG TAB 30</t>
  </si>
  <si>
    <t>RALTEGRAVIR POTASSIUM</t>
  </si>
  <si>
    <t>ISENTRESS 400 MG TAB 60</t>
  </si>
  <si>
    <t>ISONIAZID</t>
  </si>
  <si>
    <t>ISONIAZID 300 MG TAB 100</t>
  </si>
  <si>
    <t>ISONIAZID 300 MG TAB 100 UD</t>
  </si>
  <si>
    <t>ISOSORBIDE DINITRATE</t>
  </si>
  <si>
    <t>ISOSORBIDE DINITRATE 10 MG TAB 100</t>
  </si>
  <si>
    <t>MG OR</t>
  </si>
  <si>
    <t>ISOSORBIDE DINITRATE 20 MG TAB 100</t>
  </si>
  <si>
    <t>ISOSORBIDE DINITRATE 30 MG TAB 100</t>
  </si>
  <si>
    <t>ISOSORBIDE DINITRATE 5 MG TAB 100</t>
  </si>
  <si>
    <t>ISOSORBIDE DINITRATE 40 MG ER TAB 100</t>
  </si>
  <si>
    <t>ISOSORBIDE MONONITRATE</t>
  </si>
  <si>
    <t>ISOSORBIDE MONONITRATE 30 MG ER TAB 100</t>
  </si>
  <si>
    <t>ISOSORBIDE MONONITRATE 60 MG ER TAB 100</t>
  </si>
  <si>
    <t>ITRACONAZOLE</t>
  </si>
  <si>
    <t>ITRACONAZOLE 100 MG CAP 28</t>
  </si>
  <si>
    <t>WARFARIN SODIUM</t>
  </si>
  <si>
    <t>JANTOVEN 1 MG TAB 100</t>
  </si>
  <si>
    <t>JANTOVEN 1 MG TAB 100 UD</t>
  </si>
  <si>
    <t>JANTOVEN 10 MG TAB 100</t>
  </si>
  <si>
    <t>JANTOVEN 2 MG TAB 100</t>
  </si>
  <si>
    <t>JANTOVEN 2.5 MG TAB 100</t>
  </si>
  <si>
    <t>JANTOVEN 2.5 MG TAB 100 UD</t>
  </si>
  <si>
    <t>JANTOVEN 3 MG TAB 100</t>
  </si>
  <si>
    <t>JANTOVEN 3 MG TAB 100 UD</t>
  </si>
  <si>
    <t>JANTOVEN 4 MG TAB 100</t>
  </si>
  <si>
    <t>JANTOVEN 4 MG TAB 100 UD</t>
  </si>
  <si>
    <t>JANTOVEN 5 MG TAB 100</t>
  </si>
  <si>
    <t>JANTOVEN 5 MG TAB 100 UD</t>
  </si>
  <si>
    <t>JANTOVEN 6 MG TAB 100 UD</t>
  </si>
  <si>
    <t>JANTOVEN 7.5 MG TAB 100</t>
  </si>
  <si>
    <t>SITAGLIPTIN PHOSPHATE</t>
  </si>
  <si>
    <t>JANUVIA 100 MG TAB 30</t>
  </si>
  <si>
    <t>LOPINAVIR/RITONAVIR</t>
  </si>
  <si>
    <t>KALETRA 200/ 50 MG TAB 120</t>
  </si>
  <si>
    <t>50 MG</t>
  </si>
  <si>
    <t>TRIAMCINOLONE ACETONIDE</t>
  </si>
  <si>
    <t>KENALOG 40 MG/ML VL 1 ML</t>
  </si>
  <si>
    <t>KETOCONAZOLE</t>
  </si>
  <si>
    <t>KETOCONAZOLE 2% CRM 15 GM</t>
  </si>
  <si>
    <t>KETOCONAZOLE 2% SHAMPOO 120 ML</t>
  </si>
  <si>
    <t>KETOCONAZOLE 200 MG TAB 100</t>
  </si>
  <si>
    <t>KETOROLAC TROMETHAMINE</t>
  </si>
  <si>
    <t>KETOROLAC 30 MG-1ML FILL-2ML SDV 25X1 ML</t>
  </si>
  <si>
    <t>KETOROLAC THROMETHAMINE 30MG VL 10X1ML</t>
  </si>
  <si>
    <t>KETOROLAC TRO 0.4% OPH SOL 5 ML</t>
  </si>
  <si>
    <t>KETOROLAC TRO 0.5% OPH SOL 5 ML</t>
  </si>
  <si>
    <t>KETOROLAC TRO 15 MG-ML SDV 25X1 ML</t>
  </si>
  <si>
    <t>KETOROLAC TRO 60 MG-2 ML SDV 25X2 ML</t>
  </si>
  <si>
    <t>ANAKINRA</t>
  </si>
  <si>
    <t>KINERET 100MG PFS 7X0.67 ML DS</t>
  </si>
  <si>
    <t>ANTIHEMOPHIL.FVIII,FULL LENGTH</t>
  </si>
  <si>
    <t>KOGENATE FSADAPTORPDS 2023IUVL ASD</t>
  </si>
  <si>
    <t>IU</t>
  </si>
  <si>
    <t>PSYLLIUM HUSK</t>
  </si>
  <si>
    <t>KONSYL POWDER PACKET ORIGINAL 30CT</t>
  </si>
  <si>
    <t>LABETALOL HCL</t>
  </si>
  <si>
    <t>LABETALOL HCL 100 MG TAB 100</t>
  </si>
  <si>
    <t>LABETALOL HCL 200 MG TAB 100 AHP</t>
  </si>
  <si>
    <t>LABETALOL HCL 100 MG TAB 500 AHP</t>
  </si>
  <si>
    <t>LABETALOL HCL 300 MG TAB 100</t>
  </si>
  <si>
    <t>LACTASE</t>
  </si>
  <si>
    <t>LACTASE CAPLET 60CT MAJOR</t>
  </si>
  <si>
    <t>LACTULOSE</t>
  </si>
  <si>
    <t>LACTULOSE 10 GM-15 ML SOL 473 ML</t>
  </si>
  <si>
    <t>/15ML</t>
  </si>
  <si>
    <t>10GM</t>
  </si>
  <si>
    <t>LAMIVUDINE 100MG 60CT TABLETS</t>
  </si>
  <si>
    <t>LAMIVUDINE 150 MG TAB 60</t>
  </si>
  <si>
    <t>LAMIVUDINE/ZIDOVUDINE</t>
  </si>
  <si>
    <t>LAMIVUDINE-ZIDOVUDINE 150-300 MG TAB 60</t>
  </si>
  <si>
    <t>150/</t>
  </si>
  <si>
    <t>LAMOTRIGINE</t>
  </si>
  <si>
    <t>LAMOTRIGINE 100 MG TAB 100 UD AHP</t>
  </si>
  <si>
    <t>LAMOTRIGINE 100MG TAB 500</t>
  </si>
  <si>
    <t>LAMOTRIGINE 25 MG TAB 100</t>
  </si>
  <si>
    <t>LAMOTRIGINE 25 MG TAB 100 UD</t>
  </si>
  <si>
    <t>LAMOTRIGINE 25 MG TAB 100 UD AHP</t>
  </si>
  <si>
    <t>LANOXIN 0.125 MG TAB 100</t>
  </si>
  <si>
    <t>LANOXIN 0.25 MG TAB 100</t>
  </si>
  <si>
    <t>LANSOPRAZOLE</t>
  </si>
  <si>
    <t>LANSOPRAZOLE 30 MG DR CAP 30</t>
  </si>
  <si>
    <t>INSULIN GLARGINE,HUM.REC.ANLOG</t>
  </si>
  <si>
    <t>LANTUS INSULN 100U /ML VL 10 ML</t>
  </si>
  <si>
    <t>100U</t>
  </si>
  <si>
    <t>LATANOPROST</t>
  </si>
  <si>
    <t>LATANOPROST 0.005% OPH SOL 2.5 ML</t>
  </si>
  <si>
    <t>LURASIDONE HCL</t>
  </si>
  <si>
    <t>LATUDA 120 MG TAB 30</t>
  </si>
  <si>
    <t>LATUDA 20 MG TAB 30</t>
  </si>
  <si>
    <t>LATUDA 40MG TAB 30</t>
  </si>
  <si>
    <t>LATUDA 80MG TAB 30</t>
  </si>
  <si>
    <t>LEFLUNOMIDE</t>
  </si>
  <si>
    <t>LEFLUNOMIDE 10 MG TAB 30</t>
  </si>
  <si>
    <t>LEFLUNOMIDE 10MG 30 TABS</t>
  </si>
  <si>
    <t>LEUCOVORIN CALCIUM</t>
  </si>
  <si>
    <t>LEUCOVORIN CALCIUM 5 MG TAB 100</t>
  </si>
  <si>
    <t>INSULIN DETEMIR</t>
  </si>
  <si>
    <t>LEVEMIR 100U /ML VL 10 ML</t>
  </si>
  <si>
    <t>LEVETIRACETAM</t>
  </si>
  <si>
    <t>LEVETIRACETAM 100 MG-ML SOL 473 ML</t>
  </si>
  <si>
    <t>LEVETIRACETAM 250 MG TAB 120 AHP</t>
  </si>
  <si>
    <t>LEVETIRACETAM 250 MG TAB 50 UD</t>
  </si>
  <si>
    <t>LEVETIRACETAM 250MG 100 UD TABLETS AHP</t>
  </si>
  <si>
    <t>LEVETIRACETAM 500 MG ER TAB 60 AHP</t>
  </si>
  <si>
    <t>LEVETIRACETAM 500 MG TAB 100 UD</t>
  </si>
  <si>
    <t>LEVETIRACETAM 500 MG TAB 120 AHP</t>
  </si>
  <si>
    <t>LEVETIRACETAM 500 MG TAB 500 AHP</t>
  </si>
  <si>
    <t>LEVETIRACETAM 500MG 100 UD TABLETS AHP</t>
  </si>
  <si>
    <t>LEVETIRACETAM 750 MG TAB 120 AHP</t>
  </si>
  <si>
    <t>LEVETIRACETAM 750 MG TAB 500 AHP</t>
  </si>
  <si>
    <t>LEVOFLOXACIN</t>
  </si>
  <si>
    <t>LEVOFLOXACIN 250MG TAB 50</t>
  </si>
  <si>
    <t>LEVOFLOXACIN 500 MG TAB 100</t>
  </si>
  <si>
    <t>LEVOTHYROXINE SODIUM</t>
  </si>
  <si>
    <t>LEVOTHYROXINE 100 MCG TAB 100 UD</t>
  </si>
  <si>
    <t>LEVOTHYROXINE 100 MCG TAB 1000</t>
  </si>
  <si>
    <t>LEVOTHYROXINE 112 MCG TAB 1000</t>
  </si>
  <si>
    <t>LEVOTHYROXINE 125 MCG TAB 1000</t>
  </si>
  <si>
    <t>LEVOTHYROXINE 137 MCG TAB 1000</t>
  </si>
  <si>
    <t>LEVOTHYROXINE 150 MCG TAB 1000</t>
  </si>
  <si>
    <t>LEVOTHYROXINE 175 MCG TAB 1000</t>
  </si>
  <si>
    <t>LEVOTHYROXINE 200 MCG TAB 1000</t>
  </si>
  <si>
    <t>LEVOTHYROXINE 25 MCG TAB 1000</t>
  </si>
  <si>
    <t>LEVOTHYROXINE 300 MCG TAB 100</t>
  </si>
  <si>
    <t>LEVOTHYROXINE 50 MCG TAB 1000</t>
  </si>
  <si>
    <t>LEVOTHYROXINE 300 MCG TAB 90</t>
  </si>
  <si>
    <t>LEVOTHYROXINE 75 MCG TAB 1000</t>
  </si>
  <si>
    <t>LEVOTHYROXINE 88 MCG TAB 1000</t>
  </si>
  <si>
    <t>LEVOTHYROXINE SOD 175MCG TAB 90</t>
  </si>
  <si>
    <t>LEVOTHYROXINE SOD 50MCG TAB 90</t>
  </si>
  <si>
    <t>LEVOTHYROXINE SOD 88MCG TAB 90</t>
  </si>
  <si>
    <t>LEVOTHYROXINE SODIUM 125MCG TAB 90</t>
  </si>
  <si>
    <t>LEVOTHYROXINE SODIUM 137MCG TAB 90</t>
  </si>
  <si>
    <t>FOSAMPRENAVIR CALCIUM</t>
  </si>
  <si>
    <t>LEXIVA 700 MG TAB 60</t>
  </si>
  <si>
    <t>LIDOCAINE 4% CREAM 30 GM</t>
  </si>
  <si>
    <t>LIDOCAINE 5% PAT 30</t>
  </si>
  <si>
    <t>LIDOCAINE HCL</t>
  </si>
  <si>
    <t>LIDOCAINE HCL 1% MDV 25X10 ML</t>
  </si>
  <si>
    <t>LIDOCAINE HCL 1% MDV 25X20 ML</t>
  </si>
  <si>
    <t>LIDOCAINE HCL 1% MDV 25X50 ML</t>
  </si>
  <si>
    <t>LIDOCAINE HCL 2% JELLY 10X5 ML</t>
  </si>
  <si>
    <t>LIDOCAINE HCL 2% JELLY 30 ML</t>
  </si>
  <si>
    <t>LIDOCAINE HCL 2% MDV 25X20 ML</t>
  </si>
  <si>
    <t>LIDOCAINE HCL 2% VISCOUS SOL 100 ML</t>
  </si>
  <si>
    <t>LIDOCAINE HCL/EPINEPHRINE</t>
  </si>
  <si>
    <t>LIDOCAINE-EPINEPH 1%-1:100K MDV 25X20 ML</t>
  </si>
  <si>
    <t>LIDOCAINE-EPINEPH 1%-1:100K MDV 25X30 ML</t>
  </si>
  <si>
    <t>LIDOCAINE-EPINEPH 2%-1:100K MDV 25X20 ML</t>
  </si>
  <si>
    <t>LIDOCAINE-EPINEPH 2%-1:200K SDV 5X20 ML</t>
  </si>
  <si>
    <t>LINACLOTIDE</t>
  </si>
  <si>
    <t>LINZESS 145 MCG CAP 30</t>
  </si>
  <si>
    <t>LINZESS 290 MCG CAP 30</t>
  </si>
  <si>
    <t>LIOTHYRONINE SODIUM</t>
  </si>
  <si>
    <t>LIOTHYRONINE SOD 5 MCG TAB 100</t>
  </si>
  <si>
    <t>POLYVINYL ALCOHOL</t>
  </si>
  <si>
    <t>LIQUITEARS POLYVINYL ALCOHOL SOL 15ML</t>
  </si>
  <si>
    <t>LISINOPRIL</t>
  </si>
  <si>
    <t>LISINOPRIL 10 MG TAB 100</t>
  </si>
  <si>
    <t>LISINOPRIL 10 MG TAB 100 UD AHP</t>
  </si>
  <si>
    <t>LISINOPRIL 10MG TAB 100</t>
  </si>
  <si>
    <t>LISINOPRIL 10MG TAB 1000</t>
  </si>
  <si>
    <t>LISINOPRIL 2.5 MG TAB 100</t>
  </si>
  <si>
    <t>LISINOPRIL 2.5 MG TAB 500</t>
  </si>
  <si>
    <t>LISINOPRIL 20 MG TAB 100 UD AHP</t>
  </si>
  <si>
    <t>LISINOPRIL 20MG TAB 100</t>
  </si>
  <si>
    <t>LISINOPRIL 20MG TAB 1000</t>
  </si>
  <si>
    <t>LISINOPRIL 40 MG TAB 100 UD</t>
  </si>
  <si>
    <t>LISINOPRIL 40MG TAB 1000</t>
  </si>
  <si>
    <t>LISINOPRIL 5 MG TAB 100</t>
  </si>
  <si>
    <t>LISINOPRIL 5 MG TAB 100 UD</t>
  </si>
  <si>
    <t>LISINOPRIL 5 MG TAB 100 UD AHP</t>
  </si>
  <si>
    <t>LISINOPRIL 5 MG TAB 1000</t>
  </si>
  <si>
    <t>LITHIUM CITRATE</t>
  </si>
  <si>
    <t>LITHIUM 8 MEQ-5 ML ORAL SOL 500 ML</t>
  </si>
  <si>
    <t>/5ML</t>
  </si>
  <si>
    <t>8MEQ</t>
  </si>
  <si>
    <t>LITHIUM CARBONATE</t>
  </si>
  <si>
    <t>LITHIUM CARBNTE 450 MG ER TAB 100 UD AHP</t>
  </si>
  <si>
    <t>LITHIUM CARBONATE 150 MG CAP 100</t>
  </si>
  <si>
    <t>LITHIUM CARBONATE 300 MG CAP 100</t>
  </si>
  <si>
    <t>LITHIUM CARBONATE 300 MG CAP 100 UD</t>
  </si>
  <si>
    <t>LITHIUM CARBONATE 300 MG CAP 1000</t>
  </si>
  <si>
    <t>LITHIUM CARBONATE 300 MG ER TAB 100</t>
  </si>
  <si>
    <t>MG  ER</t>
  </si>
  <si>
    <t>LITHIUM CARBONATE 450 MG ER TAB 100</t>
  </si>
  <si>
    <t>LOPERAMIDE 2 MG CAP 100 UD</t>
  </si>
  <si>
    <t>LOPERAMIDE 2 MG CAP 500</t>
  </si>
  <si>
    <t>LORATADINE 10 MG TAB 100 UD AHP</t>
  </si>
  <si>
    <t>LORATADINE 10MG TABLET 300CT PERRIGO</t>
  </si>
  <si>
    <t>LORAZEPAM</t>
  </si>
  <si>
    <t>LORAZEPAM 0.5 MG TAB 100 UD</t>
  </si>
  <si>
    <t>LORAZEPAM 1 MG TAB 100 UD</t>
  </si>
  <si>
    <t>LORAZEPAM 1 MG TAB 100 UD AHP</t>
  </si>
  <si>
    <t>LORAZEPAM 2 MG-ML FILL 2 ML VL 10X1 ML</t>
  </si>
  <si>
    <t>LORAZEPAM 2 MG-ML SDV 25X1 ML</t>
  </si>
  <si>
    <t>LOSARTAN POTASSIUM</t>
  </si>
  <si>
    <t>LOSARTAN POTASSIUM 25 MG TAB 100 UD AHP</t>
  </si>
  <si>
    <t>LOSARTAN POTASSIUM 25 MG TAB 1000</t>
  </si>
  <si>
    <t>LOSARTAN POTASSIUM 25 MG TAB 90</t>
  </si>
  <si>
    <t>LOSARTAN POTASSIUM 50 MG TAB 100 UD AHP</t>
  </si>
  <si>
    <t>LOSARTAN POTASSIUM 25MG TAB 1000</t>
  </si>
  <si>
    <t>LOSARTAN POTASSIUM 50 MG TAB 1000</t>
  </si>
  <si>
    <t>LOSARTAN POTASSIUM 50 MG TAB 90</t>
  </si>
  <si>
    <t>LOTEPREDNOL ETABONATE</t>
  </si>
  <si>
    <t>LOTEMAX 0.5 % O/S 5 ML</t>
  </si>
  <si>
    <t>MICONAZOLE NITRATE</t>
  </si>
  <si>
    <t>LOTRIMIN AF POWDER 90GM</t>
  </si>
  <si>
    <t>LOVASTATIN</t>
  </si>
  <si>
    <t>LOVASTATIN 10 MG TAB 60</t>
  </si>
  <si>
    <t>LOVASTATIN 20 MG TAB 100</t>
  </si>
  <si>
    <t>LOVASTATIN 20 MG TAB 1000</t>
  </si>
  <si>
    <t>LOVASTATIN 40 MG TAB 100</t>
  </si>
  <si>
    <t>OMEGA-3 ACID ETHYL ESTERS</t>
  </si>
  <si>
    <t>LOVAZA CAP 120</t>
  </si>
  <si>
    <t>NORGESTREL-ETHINYL ESTRADIOL</t>
  </si>
  <si>
    <t>LOW-OGESTREL 0.03 MG TAB 6X28</t>
  </si>
  <si>
    <t>LOW-OGESTREL 0.3-0.03 MG TAB 6X28</t>
  </si>
  <si>
    <t>0.03MG</t>
  </si>
  <si>
    <t>0.3-</t>
  </si>
  <si>
    <t>LOXAPINE SUCCINATE</t>
  </si>
  <si>
    <t>LOXAPINE SUCCINATE 10 MG CAP 100</t>
  </si>
  <si>
    <t>LOXAPINE SUCCINATE 10 MG CAP 100 UD</t>
  </si>
  <si>
    <t>LOXAPINE SUCCINATE 25 MG CAP 100</t>
  </si>
  <si>
    <t>LOXAPINE SUCCINATE 25 MG CAP 100 UD</t>
  </si>
  <si>
    <t>LOXAPINE SUCCINATE 5 MG CAP 100</t>
  </si>
  <si>
    <t>LOXAPINE SUCCINATE 50 MG CAP 100</t>
  </si>
  <si>
    <t>GLYCERIN/MIN OIL/WH.PETROLATUM</t>
  </si>
  <si>
    <t>LUBRIDERM LOTION DLY MOIST SENS 16OZ</t>
  </si>
  <si>
    <t>EMOLLIENT COMBINATION NO.92</t>
  </si>
  <si>
    <t>LUBRIDERM LOTION DLY MOIST UNSCNTD 16OZ</t>
  </si>
  <si>
    <t>LEUPROLIDE ACETATE</t>
  </si>
  <si>
    <t>LUPRON 3 MO 11.25 MG KIT</t>
  </si>
  <si>
    <t>5 MG</t>
  </si>
  <si>
    <t>LUPRON 4 MO 30 MG KIT 1</t>
  </si>
  <si>
    <t>LUPRON DEPOT 3.75 MG KIT</t>
  </si>
  <si>
    <t>LUPRON DEPOT 11.2 5MG PE KIT</t>
  </si>
  <si>
    <t>5MG PE</t>
  </si>
  <si>
    <t>LUPRON DEPOT 45 MG 6MO KIT 1</t>
  </si>
  <si>
    <t>LUPRON DEPOT 7.5 MG SYG</t>
  </si>
  <si>
    <t>MG 6MO</t>
  </si>
  <si>
    <t>PREGABALIN</t>
  </si>
  <si>
    <t>LYRICA 100 MG CAP 100 UD</t>
  </si>
  <si>
    <t>LYRICA 150 MG CAP 100 UD</t>
  </si>
  <si>
    <t>LYRICA 150 MG CAP 90</t>
  </si>
  <si>
    <t>LYRICA 200 MG CAP 90</t>
  </si>
  <si>
    <t>LYRICA 25 MG CAP 90</t>
  </si>
  <si>
    <t>LYRICA 50 MG CAP 100 UD</t>
  </si>
  <si>
    <t>MAGNESIUM CHLORIDE</t>
  </si>
  <si>
    <t>MAG 64 64MG TABLET 60CT RISING</t>
  </si>
  <si>
    <t>MAGNESIUM OXIDE</t>
  </si>
  <si>
    <t>MAGNESIUM OXIDE 400MG TABLET 120CT CYP</t>
  </si>
  <si>
    <t>MAGNESIUM L-LACTATE</t>
  </si>
  <si>
    <t>MAG-TAB-SR TABLET 100CT NICHE</t>
  </si>
  <si>
    <t>MAPAP ACETAMIN 325MG TABLET 1000CT MAJ</t>
  </si>
  <si>
    <t>NEOMYCIN/POLYMYXIN B/DEXAMETHA</t>
  </si>
  <si>
    <t>MAXITROL O/O 3.5 GM</t>
  </si>
  <si>
    <t>MECLIZINE HCL</t>
  </si>
  <si>
    <t>MECLIZINE HCL 12.5 MG TAB 100</t>
  </si>
  <si>
    <t>MECLIZINE HCL 12.5 MG TAB 100 RUGBY</t>
  </si>
  <si>
    <t>MECLIZINE HCL 12.5 MG TAB 50 UD</t>
  </si>
  <si>
    <t>MECLIZINE HCL 25 MG CHW 1000 RUGBY</t>
  </si>
  <si>
    <t>MECLIZINE HCL 25 MG TAB 5X10 UD</t>
  </si>
  <si>
    <t>MEDIPLAST 40% PLST DRS 25</t>
  </si>
  <si>
    <t>MEDROXYPROGESTERONE AC 150 MG SDV 25X1ML</t>
  </si>
  <si>
    <t>MEDROXYPROGESTERONE ACE 2.5 MG TAB 1000</t>
  </si>
  <si>
    <t>MEDROXYPROGESTERONE ACETATE 10MG TAB 100</t>
  </si>
  <si>
    <t>MEFENAMIC ACID</t>
  </si>
  <si>
    <t>MEFENAMIC ACID 250 MG CAP 30</t>
  </si>
  <si>
    <t>MELOXICAM</t>
  </si>
  <si>
    <t>MELOXICAM 7.5 MG TAB 100</t>
  </si>
  <si>
    <t>MENING VAC A,C,Y,W-135 DIP/PF</t>
  </si>
  <si>
    <t>MENACTRA VL 5X1</t>
  </si>
  <si>
    <t>PHYTONADIONE (VIT K1)</t>
  </si>
  <si>
    <t>MEPHYTON 5 MG TAB 100</t>
  </si>
  <si>
    <t>MEPRON 750 MG/5ML SUS 210 ML</t>
  </si>
  <si>
    <t>MERCAPTOPURINE</t>
  </si>
  <si>
    <t>MERCAPTOPURINE 50 MG TAB 25</t>
  </si>
  <si>
    <t>MEROPENEM</t>
  </si>
  <si>
    <t>MEROPENEM 1 GM VL 10X30 ML</t>
  </si>
  <si>
    <t>MESALAMINE W/CLEANSING WIPES</t>
  </si>
  <si>
    <t>MESALAMINE 4 GM-60 ML COMBO KIT 7X60 ML</t>
  </si>
  <si>
    <t>/60ML</t>
  </si>
  <si>
    <t>4G</t>
  </si>
  <si>
    <t>METFORMIN HCL</t>
  </si>
  <si>
    <t>METFORMIN HCL 1000 MG TAB 100 UD</t>
  </si>
  <si>
    <t>METFORMIN HCL 1000 MG TAB 100 UD AHP</t>
  </si>
  <si>
    <t>METFORMIN HCL 1000 MG TAB 1000</t>
  </si>
  <si>
    <t>METFORMIN HCL 500 MG TAB 100</t>
  </si>
  <si>
    <t>METFORMIN HCL 500 MG TAB 100 UD</t>
  </si>
  <si>
    <t>METFORMIN HCL 500MG TAB 1000</t>
  </si>
  <si>
    <t>METFORMIN HCL 500MG TAB 500</t>
  </si>
  <si>
    <t>METFORMIN HCL 850MG TAB 100</t>
  </si>
  <si>
    <t>METHADONE HCL</t>
  </si>
  <si>
    <t>METHADONE DSK 40 MG TAB 100</t>
  </si>
  <si>
    <t>METHADONE HCL 10 MG 100 TAB UD AHP</t>
  </si>
  <si>
    <t>METHADONE HCL 10 MG TAB 100 UD</t>
  </si>
  <si>
    <t>METHADONE HCL 5 MG TAB 100 UD</t>
  </si>
  <si>
    <t>METHADONE HCL 5 MG TAB 4X25 RN</t>
  </si>
  <si>
    <t>METHADOSE 40 MG DISPERSIBLE TAB 100</t>
  </si>
  <si>
    <t>MG DSP</t>
  </si>
  <si>
    <t>METHENAMINE HIPPURATE</t>
  </si>
  <si>
    <t>METHENAMINE HIPPURATE 1 GM TAB 100</t>
  </si>
  <si>
    <t>METHYLERGONOVINE MALEATE</t>
  </si>
  <si>
    <t>METHERGINE 0.2 MG TAB 12</t>
  </si>
  <si>
    <t>METHIMAZOLE</t>
  </si>
  <si>
    <t>METHIMAZOLE 10 MG TAB 100</t>
  </si>
  <si>
    <t>METHIMAZOLE 5 MG TAB 100</t>
  </si>
  <si>
    <t>METHOCARBAMOL</t>
  </si>
  <si>
    <t>METHOCARBAMOL 500 MG TAB 100</t>
  </si>
  <si>
    <t>METHOCARBAMOL 750 MG TAB 100</t>
  </si>
  <si>
    <t>METHOTREXATE SODIUM</t>
  </si>
  <si>
    <t>METHOTREXATE 2.5 MG TAB 100 UD</t>
  </si>
  <si>
    <t>METHOTREXATE 2.5 MG TAB 20 UD</t>
  </si>
  <si>
    <t>METHYLDOPA</t>
  </si>
  <si>
    <t>METHYLDOPA 250MG 100CT TABS</t>
  </si>
  <si>
    <t>METHYLDOPA 500 MG TAB 100</t>
  </si>
  <si>
    <t>METHYLPHENIDATE HCL</t>
  </si>
  <si>
    <t>METHYLPHENIDATE HCL 10 MG ER TAB 100</t>
  </si>
  <si>
    <t>METHYLPHENIDATE HCL 18MG 100 ER TABS</t>
  </si>
  <si>
    <t>METHYLPHENIDATE HCL 20 MG ER TAB 100</t>
  </si>
  <si>
    <t>METHYLPHENIDATE HCL 20 MG TAB 30 UD AHP</t>
  </si>
  <si>
    <t>METHYLPHENIDATE HCL 20MG TAB 100</t>
  </si>
  <si>
    <t>METHYLPHENIDATE HCL 54 MG ER TAB 100</t>
  </si>
  <si>
    <t>METHYLPHENIDATE HCL 5MG TAB 100</t>
  </si>
  <si>
    <t>METHYLPHENIDT HCL 27 MG ER TAB 30 UD AHP</t>
  </si>
  <si>
    <t>METHYLPREDNISOLONE</t>
  </si>
  <si>
    <t>METHYLPREDNISOLONE 4 MG TAB 21 DSPK AHP</t>
  </si>
  <si>
    <t>METHYLPREDNISOLONE 8 MG TAB 25</t>
  </si>
  <si>
    <t>METOCLOPRAMIDE HCL</t>
  </si>
  <si>
    <t>METOCLOPRAMIDE 10MG TAB 100 UD AHP</t>
  </si>
  <si>
    <t>METOCLOPRAMIDE HCL 10 MG TAB 500</t>
  </si>
  <si>
    <t>METOCLOPRAMIDE HCL 5 MG TAB 100</t>
  </si>
  <si>
    <t>METOLAZONE</t>
  </si>
  <si>
    <t>METOLAZONE 5 MG TAB 100</t>
  </si>
  <si>
    <t>METOPROLOL SUCCINATE</t>
  </si>
  <si>
    <t>METOPROL SUCINTE 100MG ER TAB 100 UD AHP</t>
  </si>
  <si>
    <t>METOPROL SUCINTE 50 MG ER TAB 100 UD AHP</t>
  </si>
  <si>
    <t>METOPROLOL TARTRATE</t>
  </si>
  <si>
    <t>METOPROL TARTRATE 100 MG TAB 100 UD AHP</t>
  </si>
  <si>
    <t>METOPROLOL SUCCIN 100 MG ER TAB 500 AHP</t>
  </si>
  <si>
    <t>METOPROLOL SUCCIN 25 MG ER TAB 100 AHP</t>
  </si>
  <si>
    <t>METOPROLOL SUCCIN 50 MG ER TAB 100 AHP</t>
  </si>
  <si>
    <t>METOPROLOL SUCCIN 50 MG ER TAB 500 AHP</t>
  </si>
  <si>
    <t>METOPROLOL SUCCINATE 25 MG ER TAB 100 UD</t>
  </si>
  <si>
    <t>METOPROLOL TARTRATE 100 MG TAB 100</t>
  </si>
  <si>
    <t>METOPROLOL TARTRATE 100 MG TAB 1000</t>
  </si>
  <si>
    <t>METOPROLOL TARTRATE 25 MG TAB 100</t>
  </si>
  <si>
    <t>METOPROLOL TARTRATE 25 MG TAB 100 UD</t>
  </si>
  <si>
    <t>METOPROLOL TARTRATE 25 MG TAB 1000</t>
  </si>
  <si>
    <t>METOPROLOL TARTRATE 37.5 MG TAB 100</t>
  </si>
  <si>
    <t>METOPROLOL TARTRATE 50 MG TAB 100 UD</t>
  </si>
  <si>
    <t>METOPROLOL TARTRATE 50 MG TAB 1000</t>
  </si>
  <si>
    <t>METOPROLOL TARTRATE 50MG TAB 100</t>
  </si>
  <si>
    <t>METOPROLOL TARTRATE 50MG TAB 1000</t>
  </si>
  <si>
    <t>METRONIDAZOLE</t>
  </si>
  <si>
    <t>METRONIDAZOLE 0.75% TOP CRM 45 GM</t>
  </si>
  <si>
    <t>METRONIDAZOLE 0.75% TOP GEL 45 GM</t>
  </si>
  <si>
    <t>METRONIDAZOLE 0.75% VAG GEL 70 GM</t>
  </si>
  <si>
    <t>%  VAG</t>
  </si>
  <si>
    <t>METRONIDAZOLE 250 MG TAB 500</t>
  </si>
  <si>
    <t>METRONIDAZOLE/SODIUM CHLORIDE</t>
  </si>
  <si>
    <t>METRONIDAZOLE 500 MG IVPB 24X100 ML</t>
  </si>
  <si>
    <t>METRONIDAZOLE 500 MG TAB 500</t>
  </si>
  <si>
    <t>METRONIDAZOLE 500MG 100 UD TABS AHP</t>
  </si>
  <si>
    <t>METRONIDAZOLE CREAM 0.75% 45GM</t>
  </si>
  <si>
    <t>MEXILETINE HCL</t>
  </si>
  <si>
    <t>MEXILETINE HCL 150 MG CAP 100</t>
  </si>
  <si>
    <t>SIMETHICONE</t>
  </si>
  <si>
    <t>MI-ACID 80MG ANTIGAS CHEW 100CT MAJOR</t>
  </si>
  <si>
    <t>MICONAZOLE 2% VAGINAL CREAM 45GM G&amp;W</t>
  </si>
  <si>
    <t>% VAG</t>
  </si>
  <si>
    <t>MICONAZOLE 2% VAGINAL CREAM 45GM TARO</t>
  </si>
  <si>
    <t>MICONAZOLE NITRATE 2% CREAM 15GM ACT</t>
  </si>
  <si>
    <t>% CD</t>
  </si>
  <si>
    <t>MICONAZOLE NITRATE 2% CREAM 1OZ ACT</t>
  </si>
  <si>
    <t>MIDODRINE HCL</t>
  </si>
  <si>
    <t>MIDODRINE HCL 5 MG TAB 100</t>
  </si>
  <si>
    <t>MAGNESIUM HYDROXIDE</t>
  </si>
  <si>
    <t>MILK OF MAGNESIA MINT 12OZ MAJOR</t>
  </si>
  <si>
    <t>MILK OF MAGNESIA SUSPENSION 12OZ MAJOR</t>
  </si>
  <si>
    <t>MINERAL OIL HEAVY 16OZ PADDOCK</t>
  </si>
  <si>
    <t>MINOCYCLINE HCL</t>
  </si>
  <si>
    <t>MINOCYCLINE HCL 100 MG CAP 50</t>
  </si>
  <si>
    <t>MINOXIDIL</t>
  </si>
  <si>
    <t>MINOXIDIL 10 MG TAB 100</t>
  </si>
  <si>
    <t>MINOXIDIL 2.5 MG TAB 100</t>
  </si>
  <si>
    <t>POLYETHYLENE GLYCOL 3350</t>
  </si>
  <si>
    <t>MIRALAX POWDER SINGLE DOSE INST 24X17GM</t>
  </si>
  <si>
    <t>LEVONORGESTREL</t>
  </si>
  <si>
    <t>MIRENA INT 52 MG SYS 1 DS</t>
  </si>
  <si>
    <t>MIRTAZAPINE</t>
  </si>
  <si>
    <t>MIRTAZAPINE 15 MG TAB 100 UD AHP</t>
  </si>
  <si>
    <t>MIRTAZAPINE 15 MG TAB 500</t>
  </si>
  <si>
    <t>MIRTAZAPINE 30 MG TAB 100 UD AHP</t>
  </si>
  <si>
    <t>MIRTAZAPINE 30 MG TAB 500</t>
  </si>
  <si>
    <t>MIRTAZAPINE 45 MG TAB 100 UD</t>
  </si>
  <si>
    <t>MIRTAZAPINE 45 MG TAB 500</t>
  </si>
  <si>
    <t>MISOPROSTOL</t>
  </si>
  <si>
    <t>MISOPROSTOL 200 MCG TAB 100 UD AHP</t>
  </si>
  <si>
    <t>MEASLES,MUMPS,RUBELLA VACC/PF</t>
  </si>
  <si>
    <t>M-M-R II SDV 10</t>
  </si>
  <si>
    <t>MODAFINIL</t>
  </si>
  <si>
    <t>MODAFINIL 100 MG TAB 30</t>
  </si>
  <si>
    <t>MODAFINIL 200 MG TAB 30</t>
  </si>
  <si>
    <t>MOMETASONE FUROATE 0.1% TOP CRM 45 GM</t>
  </si>
  <si>
    <t>MONTELUKAST SODIUM</t>
  </si>
  <si>
    <t>MONTELUKAST SODIUM 10 MG TAB 1000</t>
  </si>
  <si>
    <t>MONTELUKAST SODIUM 10 MG TAB 30</t>
  </si>
  <si>
    <t>MONTELUKAST SODIUM 10 MG TAB 90</t>
  </si>
  <si>
    <t>MORPHINE SULFATE</t>
  </si>
  <si>
    <t>MORPHINE SULF 10MG/ML VL 25X1ML</t>
  </si>
  <si>
    <t>ELECTROLYTES/YERBA SANTA</t>
  </si>
  <si>
    <t>MOUTHKOTE DRY MOUTH SPRAY 8OZ</t>
  </si>
  <si>
    <t>GUAIFENESIN</t>
  </si>
  <si>
    <t>MUCINEX EXPECTORANT TABLET 20CT</t>
  </si>
  <si>
    <t>DRONEDARONE HCL</t>
  </si>
  <si>
    <t>MULTAQ 400 MG TAB 60</t>
  </si>
  <si>
    <t>MUPIROCIN</t>
  </si>
  <si>
    <t>MUPIROCIN 2% ONT 22 GM</t>
  </si>
  <si>
    <t>MUPIROCIN CALCIUM</t>
  </si>
  <si>
    <t>MUPIROCIN CALCIUM 2% CRM 15 GM</t>
  </si>
  <si>
    <t>MUPIROCIN CALCIUM 2% CRM 30 GM</t>
  </si>
  <si>
    <t>METHYL SALICYLATE/MENTHOL</t>
  </si>
  <si>
    <t>MUSCLE RUB CREAM XTRA STRENGTH 3OZ PER</t>
  </si>
  <si>
    <t>MYCOPHENOLATE MOFETIL</t>
  </si>
  <si>
    <t>MYCOPHENLTE MOFETL 250MG 100 UD CAPS AHP</t>
  </si>
  <si>
    <t>MYCOPHENOLATE MOFETIL 250 MG CAP 100 UD</t>
  </si>
  <si>
    <t>NADOLOL</t>
  </si>
  <si>
    <t>NADOLOL 20 MG TAB 100</t>
  </si>
  <si>
    <t>NADOLOL 20MG TAB 100 AHP</t>
  </si>
  <si>
    <t>NADOLOL 40 MG TAB 100</t>
  </si>
  <si>
    <t>NAFCILLIN SODIUM</t>
  </si>
  <si>
    <t>NAFCILLIN 2 GM VL 10</t>
  </si>
  <si>
    <t>NALOXONE HCL</t>
  </si>
  <si>
    <t>NALOXONE 2 MG LL SYG 10X2 ML</t>
  </si>
  <si>
    <t>NALOXONE 0.4 MG/ML FTV 10X1 ML</t>
  </si>
  <si>
    <t>NALOXONE HCL 2MG-2ML SYR 10X2ML 21G NEDL</t>
  </si>
  <si>
    <t>MG LL</t>
  </si>
  <si>
    <t>NALTREXONE HCL</t>
  </si>
  <si>
    <t>NALTREXONE 50 MG TAB 100</t>
  </si>
  <si>
    <t>MEMANTINE HCL</t>
  </si>
  <si>
    <t>NAMENDA 5 MG TAB 60</t>
  </si>
  <si>
    <t>NAPROXEN</t>
  </si>
  <si>
    <t>NAPROXEN 250 MG TAB 100</t>
  </si>
  <si>
    <t>NAPROXEN 500 MG TAB (10X10) 100 UD AHP</t>
  </si>
  <si>
    <t>NAPROXEN 500 MG TAB 100</t>
  </si>
  <si>
    <t>NAPROXEN 500 MG TAB 100 UD AHP</t>
  </si>
  <si>
    <t>NAPROXEN 500 MG TAB 500</t>
  </si>
  <si>
    <t>NASACORT OTC 120 SPRAYS 0.57OZ</t>
  </si>
  <si>
    <t>NORETHINDRONE-ETHINYL ESTRAD</t>
  </si>
  <si>
    <t>NECON 1/35 TAB 6X28</t>
  </si>
  <si>
    <t>NEOMYCIN/POLYMYXN B/GRAMICIDIN</t>
  </si>
  <si>
    <t>NEO/POLY/GRAM DRP 10 ML</t>
  </si>
  <si>
    <t>NEOMYCIN/POLYMYXIN B/HYDROCORT</t>
  </si>
  <si>
    <t>NEO/POLY/HC SUS 7.5 ML</t>
  </si>
  <si>
    <t>NEOMYCIN-POLY B-HC OTIC DRP 10 ML</t>
  </si>
  <si>
    <t>W/DRPR</t>
  </si>
  <si>
    <t>OTIC</t>
  </si>
  <si>
    <t>AF</t>
  </si>
  <si>
    <t>NEOMYCIN-POLYMICIN B-HC OTIC SUS 10 ML</t>
  </si>
  <si>
    <t>NEOMYCIN-POLYMYXIN-DEX OPH DRP 5 ML</t>
  </si>
  <si>
    <t>B COMPLEX W-C NO.20/FOLIC ACID</t>
  </si>
  <si>
    <t>NEPHROCAPS SGC 90</t>
  </si>
  <si>
    <t>VIT B COMP NO.3/FOLIC/C/BIOTIN</t>
  </si>
  <si>
    <t>NEPHRO-VITE RX TAB 100</t>
  </si>
  <si>
    <t>RX</t>
  </si>
  <si>
    <t>PEGFILGRASTIM</t>
  </si>
  <si>
    <t>NEULASTA 6MG-0.6ML SYG</t>
  </si>
  <si>
    <t>0.6ML</t>
  </si>
  <si>
    <t>6MG/</t>
  </si>
  <si>
    <t>NEULASTA6 MG SYG 0.6 ML ASD</t>
  </si>
  <si>
    <t>ROTIGOTINE</t>
  </si>
  <si>
    <t>NEUPRO 4 MG PAT 30</t>
  </si>
  <si>
    <t>NEPAFENAC</t>
  </si>
  <si>
    <t>NEVANAC O/S 3 ML</t>
  </si>
  <si>
    <t>NEVIRAPINE</t>
  </si>
  <si>
    <t>NEVIRAPINE 200 MG TAB 60</t>
  </si>
  <si>
    <t>SORAFENIB TOSYLATE</t>
  </si>
  <si>
    <t>NEXAVAR200 MG TAB 120 ASD</t>
  </si>
  <si>
    <t>NEXIUM 40 MG CAP 90</t>
  </si>
  <si>
    <t>NEXIUM 20 MG CAP 30</t>
  </si>
  <si>
    <t>NIACIN</t>
  </si>
  <si>
    <t>NIACIN 100MG TABLET 100CT RUGBY</t>
  </si>
  <si>
    <t>NIACIN 500MG TABLET 100CT MAJOR</t>
  </si>
  <si>
    <t>NIFEDIPINE</t>
  </si>
  <si>
    <t>NIFEDIPINE 10 MG CAP 100</t>
  </si>
  <si>
    <t>NIFEDIPINE 20 MG CAP 100</t>
  </si>
  <si>
    <t>NIFEDIPINE 60MG ER TAB 100</t>
  </si>
  <si>
    <t>NIFEDIPINE CC 30 MG ER TAB 100</t>
  </si>
  <si>
    <t>NIFEDIPINE CC 60 MG ER TAB 100</t>
  </si>
  <si>
    <t>NIFEDIPINE CC ER 90 MG TAB 100</t>
  </si>
  <si>
    <t>NITROGLYCERIN</t>
  </si>
  <si>
    <t>NITRO-BID 2 % ONT 30 GM</t>
  </si>
  <si>
    <t>NITROFURANTOIN MONOHYD/M-CRYST</t>
  </si>
  <si>
    <t>NITROFUR MONO 100 MG CAP 100 AHP</t>
  </si>
  <si>
    <t>NITROFURNT MCR BID 100 MG CAP 100 UD AHP</t>
  </si>
  <si>
    <t>MG BID</t>
  </si>
  <si>
    <t>NITROGLYCERIN SUBLINGUA 0.4MG TAB 4X25</t>
  </si>
  <si>
    <t>NITROSTAT 0.4 MG SL TAB 4X25</t>
  </si>
  <si>
    <t>MG SL</t>
  </si>
  <si>
    <t>NITROSTAT SUB 0.3 MG TAB 100</t>
  </si>
  <si>
    <t>NORETHINDRONE ACETATE</t>
  </si>
  <si>
    <t>NORETHINDRONE 5 MG TAB 50</t>
  </si>
  <si>
    <t>NORTREL 7/7/7 0.35 MG TAB 6X28</t>
  </si>
  <si>
    <t>NORTRIPTYLINE HCL</t>
  </si>
  <si>
    <t>NORTRIPTYLINE 10 MG CAP 100</t>
  </si>
  <si>
    <t>NORTRIPTYLINE 10 MG CAP 500</t>
  </si>
  <si>
    <t>NORTRIPTYLINE 10 MG/5ML SOL 16 OZ</t>
  </si>
  <si>
    <t>NORTRIPTYLINE 25 MG CAP 100</t>
  </si>
  <si>
    <t>NORTRIPTYLINE 25MG CAP 100</t>
  </si>
  <si>
    <t>NORTRIPTYLINE 50 MG CAP 100</t>
  </si>
  <si>
    <t>NORTRIPTYLINE 75 MG CAP 100</t>
  </si>
  <si>
    <t>NORTRIPTYLINE HCL 10 MG CAP 500</t>
  </si>
  <si>
    <t>NORTRIPTYLINE HCL 25 MG CAP 90</t>
  </si>
  <si>
    <t>NORTRIPTYLINE HCL 50 MG CAP 90</t>
  </si>
  <si>
    <t>RITONAVIR</t>
  </si>
  <si>
    <t>NORVIR 100 MG TAB 30</t>
  </si>
  <si>
    <t>INSULIN NPH HUMAN ISOPHANE</t>
  </si>
  <si>
    <t>NOVOLIN N 100 UN/ML VL 10 ML</t>
  </si>
  <si>
    <t>INSULIN REGULAR, HUMAN</t>
  </si>
  <si>
    <t>NOVOLIN R 100 UN/ML VL 10 ML</t>
  </si>
  <si>
    <t>INSULIN ASPART</t>
  </si>
  <si>
    <t>NOVOLOG 100 UN/ML VL 10 ML</t>
  </si>
  <si>
    <t>DEXTROMETHORPHAN HBR/QUINIDINE</t>
  </si>
  <si>
    <t>NUEDEXTA 20 /10 MG CAP 60</t>
  </si>
  <si>
    <t>/10 MG</t>
  </si>
  <si>
    <t>NYSTATIN</t>
  </si>
  <si>
    <t>NYSTATIN 100 MU-ML SUS 473 ML</t>
  </si>
  <si>
    <t>MU/ML</t>
  </si>
  <si>
    <t>100M</t>
  </si>
  <si>
    <t>NYSTATIN TOPICAL 100M USP PWD 30GM</t>
  </si>
  <si>
    <t>USP</t>
  </si>
  <si>
    <t>NYSTATIN TOPICAL POWDER 100MU/GM 30GM</t>
  </si>
  <si>
    <t>MU/GM</t>
  </si>
  <si>
    <t>EMTRICITAB/RILPIVIRI/TENOF ALA</t>
  </si>
  <si>
    <t>ODEFSEY 200MG/25MG/25MG TAB 30</t>
  </si>
  <si>
    <t>OFLOXACIN</t>
  </si>
  <si>
    <t>OFLOXACIN 0.3% O/S 5 ML</t>
  </si>
  <si>
    <t>OFLOXACIN 0.3% OPH DRP 5 ML</t>
  </si>
  <si>
    <t>OFLOXACIN 0.3% OTIC DRP 5 ML</t>
  </si>
  <si>
    <t>OLANZAPINE</t>
  </si>
  <si>
    <t>OLANZAPINE 10 MG ODT TAB (3X10) 30 UD</t>
  </si>
  <si>
    <t>OLANZAPINE 10 MG TAB 30</t>
  </si>
  <si>
    <t>OLANZAPINE 10 MG TAB 500</t>
  </si>
  <si>
    <t>OLANZAPINE 10 MG VL</t>
  </si>
  <si>
    <t>OLANZAPINE 15 MG OD TAB (3X10)30 UD AHP</t>
  </si>
  <si>
    <t>MG ODT</t>
  </si>
  <si>
    <t>OLANZAPINE 15 MG ODT TAB (3X10) 30 UD</t>
  </si>
  <si>
    <t>OLANZAPINE 15 MG ODT TAB 30 UD</t>
  </si>
  <si>
    <t>OLANZAPINE 15 MG ODT TAB 30</t>
  </si>
  <si>
    <t>OLANZAPINE 15 MG TAB 1000</t>
  </si>
  <si>
    <t>OLANZAPINE 2.5 MG TAB 1000</t>
  </si>
  <si>
    <t>OLANZAPINE 2.5 MG TAB 30</t>
  </si>
  <si>
    <t>OLANZAPINE 20 MG OD TAB (3X10) 30 UD AHP</t>
  </si>
  <si>
    <t>OLANZAPINE 20 MG ODT TAB (3X10) 30 UD</t>
  </si>
  <si>
    <t>MG OD</t>
  </si>
  <si>
    <t>OLANZAPINE 20 MG ODT TAB 30 UD</t>
  </si>
  <si>
    <t>OLANZAPINE 5 MG ODT TAB 3X10</t>
  </si>
  <si>
    <t>OLANZAPINE 20 MG ODT TAB 30</t>
  </si>
  <si>
    <t>OLANZAPINE 5 MG ODT TAB 3X10 BP</t>
  </si>
  <si>
    <t>OLANZAPINE 5 MG TAB 100 UD AHP</t>
  </si>
  <si>
    <t>OLANZAPINE 5 MG TAB 1000</t>
  </si>
  <si>
    <t>OLANZAPINE 5 MG TAB 30</t>
  </si>
  <si>
    <t>OLANZAPINE 7.5 MG TAB 30</t>
  </si>
  <si>
    <t>OLANZAPINE ODT 20MG TAB (3X10) 30 UD</t>
  </si>
  <si>
    <t>OLOPATADINE HCL</t>
  </si>
  <si>
    <t>OLOPATADINE HCL 0.1% O/S 5ML</t>
  </si>
  <si>
    <t>OLOPATADINE HCL 665MCG 30.5GM NASAL SPY</t>
  </si>
  <si>
    <t>665MCG</t>
  </si>
  <si>
    <t>HCL</t>
  </si>
  <si>
    <t>OMEGA-3/DHA/EPA/FISH OIL</t>
  </si>
  <si>
    <t>OMEGA-3 1000MG GELCAP 150CT NATROL</t>
  </si>
  <si>
    <t>OMEGA-3-ACID 1GM CAP 120</t>
  </si>
  <si>
    <t>OMEPRAZOLE</t>
  </si>
  <si>
    <t>OMEPRAZOLE 20 MG DR CAP 1000</t>
  </si>
  <si>
    <t>OMEPRAZOLE 20MG DR CAP 100</t>
  </si>
  <si>
    <t>ONDANSETRON HCL</t>
  </si>
  <si>
    <t>ONDANSETRON HCL 4 MG TAB 100 UD</t>
  </si>
  <si>
    <t>ONDANSETRON HCL 4 MG TAB 30</t>
  </si>
  <si>
    <t>ONDANSETRON HCL 8 MG TAB 100 UD</t>
  </si>
  <si>
    <t>ONDANSETRON</t>
  </si>
  <si>
    <t>ONDANSETRON ODT 4 MG 30</t>
  </si>
  <si>
    <t>ODT</t>
  </si>
  <si>
    <t>4MG</t>
  </si>
  <si>
    <t>CLOBAZAM</t>
  </si>
  <si>
    <t>ONFI 10 MG TAB 100</t>
  </si>
  <si>
    <t>ORAJEL ORAL PAIN GEL 10% 0.25OZ</t>
  </si>
  <si>
    <t>ORPHENADRINE CITRATE</t>
  </si>
  <si>
    <t>ORPHENADRINE CIT ER 100 MG TAB 100</t>
  </si>
  <si>
    <t>OSELTAMIVIR PHOSPHATE</t>
  </si>
  <si>
    <t>OSELTAMIVIR PHOS 75 MG CAP 10</t>
  </si>
  <si>
    <t>GLUCOSAM/CHON-MSM1/C/MANG/BOSW</t>
  </si>
  <si>
    <t>OSTEO BI-FLEX TRPL STRENGTH CAPLET 120CT</t>
  </si>
  <si>
    <t>APREMILAST</t>
  </si>
  <si>
    <t>OTEZLA 30 MG TAB 60</t>
  </si>
  <si>
    <t>OXACILLIN SODIUM</t>
  </si>
  <si>
    <t>OXACILLIN 1 GM VL 10</t>
  </si>
  <si>
    <t>OXACILLIN 10 GM VL</t>
  </si>
  <si>
    <t>OXACILLIN 2 GM VL 10</t>
  </si>
  <si>
    <t>OXCARBAZEPINE</t>
  </si>
  <si>
    <t>OXCARBAZEPINE 150 MG TAB 100</t>
  </si>
  <si>
    <t>OXCARBAZEPINE 300 MG TAB 100</t>
  </si>
  <si>
    <t>OXCARBAZEPINE 300 MG TAB 100 UD AHP</t>
  </si>
  <si>
    <t>OXCARBAZEPINE 600 MG TAB 100</t>
  </si>
  <si>
    <t>OXYBUTYNIN CHLORIDE</t>
  </si>
  <si>
    <t>OXYBUTYNIN 5 MG TAB 100</t>
  </si>
  <si>
    <t>OXYBUTYNIN 5 MG TAB 100 UD AHP</t>
  </si>
  <si>
    <t>OXYBUTYNIN 5 MG TAB 500</t>
  </si>
  <si>
    <t>OXYBUTYNIN 5 MG TAB 60</t>
  </si>
  <si>
    <t>OXYCODONE HCL</t>
  </si>
  <si>
    <t>OXYCODONE 5 MG TAB 100 UD</t>
  </si>
  <si>
    <t>OXYCODONE 5 MG TAB 100 UD AHP</t>
  </si>
  <si>
    <t>OXYCODONE HCL/ACETAMINOPHEN</t>
  </si>
  <si>
    <t>OXYCODONE-ACETAMIN 5/325 MG TAB 100 UD</t>
  </si>
  <si>
    <t>325 MG</t>
  </si>
  <si>
    <t>OXYCONTIN CR 10 MG TAB 20 UD</t>
  </si>
  <si>
    <t>OXYCONTIN CR 20 MG TAB 20 UD</t>
  </si>
  <si>
    <t>OXYCONTIN CR 40 MG TAB 20 UD</t>
  </si>
  <si>
    <t>OXYMETAZOLINE HCL</t>
  </si>
  <si>
    <t>OXYMETAZOLINE 0.05% SPRAY 1OZ PERRIGO</t>
  </si>
  <si>
    <t>PALIPERIDONE 1.5MG ER TAB 30</t>
  </si>
  <si>
    <t>PALIPERIDONE 6MG ER TAB 30</t>
  </si>
  <si>
    <t>PANTOPRAZOLE SODIUM</t>
  </si>
  <si>
    <t>PANTOPRAZOLE 20 MG DR TAB 100 UD AHP</t>
  </si>
  <si>
    <t>PANTOPRAZOLE 20 MG TAB 90</t>
  </si>
  <si>
    <t>PANTOPRAZOLE 40 MG DR TAB 100 UD</t>
  </si>
  <si>
    <t>PANTOPRAZOLE SOD 40 MG DR TAB 80 UD AHP</t>
  </si>
  <si>
    <t>PANTOPRAZOLE SODIUM 40MG 90 DR TABS</t>
  </si>
  <si>
    <t>PANTOPRAZOLE SODIUM 40MG DR TAB 1000</t>
  </si>
  <si>
    <t>PAROXETINE HCL</t>
  </si>
  <si>
    <t>PAROXETINE 10 MG TAB 100 UD AHP</t>
  </si>
  <si>
    <t>PAROXETINE 10 MG TAB 500</t>
  </si>
  <si>
    <t>PAROXETINE 20 MG TAB 100 UD AHP</t>
  </si>
  <si>
    <t>PAROXETINE 20 MG TAB 1000</t>
  </si>
  <si>
    <t>PAROXETINE 20 MG TAB 500</t>
  </si>
  <si>
    <t>PAROXETINE 30 MG TAB 500</t>
  </si>
  <si>
    <t>PAROXETINE 40 MG TAB 500</t>
  </si>
  <si>
    <t>PATADAY 0.2 % SOL 2.5 ML</t>
  </si>
  <si>
    <t>PATANOL 0.1 % O/S 5 ML</t>
  </si>
  <si>
    <t>PAXIL 10MG /5ML SUS 250 ML</t>
  </si>
  <si>
    <t>10MG</t>
  </si>
  <si>
    <t>PEG3350/SOD SULF,BICARB,CL/KCL</t>
  </si>
  <si>
    <t>PEG-3350 ORAL ELECTROLYTE SOL 4000 ML</t>
  </si>
  <si>
    <t>ELECTR</t>
  </si>
  <si>
    <t>ORAL</t>
  </si>
  <si>
    <t>PEG-3350 W/ FLAVOR SOL 4 LT</t>
  </si>
  <si>
    <t>FLAVOR</t>
  </si>
  <si>
    <t>W/</t>
  </si>
  <si>
    <t>PEGINTERFERON ALFA-2A</t>
  </si>
  <si>
    <t>PEGASYS 180 MCG-0.5ML SYG 4X0.5 ML</t>
  </si>
  <si>
    <t>.5ML</t>
  </si>
  <si>
    <t>MCG/</t>
  </si>
  <si>
    <t>PENICILLIN V POTASSIUM</t>
  </si>
  <si>
    <t>PENICIL VK 500 MG TAB 100</t>
  </si>
  <si>
    <t>PENICIL VK 500 MG TAB 1000</t>
  </si>
  <si>
    <t>PENICILLIN G POTASSIUM</t>
  </si>
  <si>
    <t>PENICILLIN G POTASSIUM 5MM/UNIT VIAL 10</t>
  </si>
  <si>
    <t>MM/U</t>
  </si>
  <si>
    <t>PENTASA CR 250 MG CAP 240</t>
  </si>
  <si>
    <t>PEPTO BISMOL LIQUID ORIGINAL 16OZ</t>
  </si>
  <si>
    <t>PERMETHRIN</t>
  </si>
  <si>
    <t>PERMETHRIN 5% CRM 60 GM</t>
  </si>
  <si>
    <t>PERPHENAZINE</t>
  </si>
  <si>
    <t>PERPHENAZINE 16 MG TAB 100</t>
  </si>
  <si>
    <t>PERPHENAZINE 2 MG TAB 100</t>
  </si>
  <si>
    <t>PERPHENAZINE 2 MG TAB 100 UD</t>
  </si>
  <si>
    <t>MG WHT</t>
  </si>
  <si>
    <t>PERPHENAZINE 4 MG TAB 100</t>
  </si>
  <si>
    <t>PERPHENAZINE 4 MG TAB 100 UD</t>
  </si>
  <si>
    <t>PERPHENAZINE 8 MG TAB 100</t>
  </si>
  <si>
    <t>PERPHENAZINE 8 MG TAB 100 UD</t>
  </si>
  <si>
    <t>PHENAZOPYRIDINE HCL</t>
  </si>
  <si>
    <t>PHENAZOPYRID 100 MG TAB 100</t>
  </si>
  <si>
    <t>PHENAZOPYRID 200 MG TAB 100</t>
  </si>
  <si>
    <t>PHENAZOPYRIDINE HCL 100MG TAB 100</t>
  </si>
  <si>
    <t>PHENELZINE SULFATE</t>
  </si>
  <si>
    <t>PHENELZINE 15 MG TAB 60</t>
  </si>
  <si>
    <t>PHENOBARBITAL</t>
  </si>
  <si>
    <t>PHENOBARB 64.8 MG TAB 1000</t>
  </si>
  <si>
    <t>PHENOBARBITAL SODIUM</t>
  </si>
  <si>
    <t>PHENOBARB 65 MG VL 25X1 ML</t>
  </si>
  <si>
    <t>PHENOBARBITAL 32.4 MG TAB 100 UD</t>
  </si>
  <si>
    <t>PHENYTOIN 125 MG/5ML SUS 8 OZ</t>
  </si>
  <si>
    <t>PHENYTOIN ER 100 MG CAP 100</t>
  </si>
  <si>
    <t>PHENYTOIN ER 100 MG CAP 100 UD</t>
  </si>
  <si>
    <t>PHENYTOIN ER 100 MG CAP 100 UD AHP</t>
  </si>
  <si>
    <t>PHENYTOIN ER 100 MG CAP 1000</t>
  </si>
  <si>
    <t>PILOCARPINE HCL</t>
  </si>
  <si>
    <t>PILOCARPINE 2 % DRP 15 ML</t>
  </si>
  <si>
    <t>PILOCARPINE 5 MG TAB 100</t>
  </si>
  <si>
    <t>PIMOZIDE</t>
  </si>
  <si>
    <t>PIMOZIDE 1MG TAB 100</t>
  </si>
  <si>
    <t>PIMOZIDE 2MG TAB 100</t>
  </si>
  <si>
    <t>PIOGLITAZONE HCL</t>
  </si>
  <si>
    <t>PIOGLITAZONE 45MG TAB 90</t>
  </si>
  <si>
    <t>PIPERACILLIN SODIUM/TAZOBACTAM</t>
  </si>
  <si>
    <t>PIPERACILLIN-TAZOBACT 3.375GM VL 10X30ML</t>
  </si>
  <si>
    <t>5 GM</t>
  </si>
  <si>
    <t>PIROXICAM</t>
  </si>
  <si>
    <t>PIROXICAM 10 MG CAP 100</t>
  </si>
  <si>
    <t>PIROXICAM 10MG 100CT CAPSULES</t>
  </si>
  <si>
    <t>PIROXICAM 20 MG CAP 100</t>
  </si>
  <si>
    <t>PNEUMOCOCCAL 23-VAL P-SAC VAC</t>
  </si>
  <si>
    <t>PNEUMOVAX 23 PFS 10X0.5 ML</t>
  </si>
  <si>
    <t>PNEUMOVAX 23 VL 10X0.5 ML</t>
  </si>
  <si>
    <t>PODOPHYLLUM RESIN</t>
  </si>
  <si>
    <t>PODOCON-25 LIQ 15 ML</t>
  </si>
  <si>
    <t>POLYETHYLENE GLYCOL 3350 PWD 100X17GM UD</t>
  </si>
  <si>
    <t>POLYSPORIN OINTMENT 15GM</t>
  </si>
  <si>
    <t>POLYSPORIN OINTMENT 30GM</t>
  </si>
  <si>
    <t>POTASSIUM CHLORIDE</t>
  </si>
  <si>
    <t>POTASSIUM CHL 10 MEQ TAB 1000</t>
  </si>
  <si>
    <t>MEQ</t>
  </si>
  <si>
    <t>POTASSIUM CITRATE</t>
  </si>
  <si>
    <t>POTASSIUM CITRATE ER 10 MEQ TAB 100</t>
  </si>
  <si>
    <t>POTASSIUM CL ER 10 MEQ TAB 100 UD AHP</t>
  </si>
  <si>
    <t>MEQ ER</t>
  </si>
  <si>
    <t>POTASSIUM CL ER 20 MEQ TAB 1000 AHP</t>
  </si>
  <si>
    <t>POTASSIUM CL ER 20 MEQ TAB 80 UD AHP</t>
  </si>
  <si>
    <t>POTASSIUM HCL ER 10 MEQ TAB 100 UD AHP</t>
  </si>
  <si>
    <t>DABIGATRAN ETEXILATE MESYLATE</t>
  </si>
  <si>
    <t>PRADAXA B-PK 150 MG CAP 10X6 UD</t>
  </si>
  <si>
    <t>ALIROCUMAB</t>
  </si>
  <si>
    <t>PRALUENT 75MG/ML INJ 2CT</t>
  </si>
  <si>
    <t>PRAMIPEXOLE DI-HCL</t>
  </si>
  <si>
    <t>PRAMIPEXOLE 0.125 MG TAB 90</t>
  </si>
  <si>
    <t>PRAMIPEXOLE 0.5 MG TAB 90</t>
  </si>
  <si>
    <t>PRAMIPEXOLE 1.5 MG TAB 90</t>
  </si>
  <si>
    <t>PRAVASTATIN SODIUM</t>
  </si>
  <si>
    <t>PRAVASTATIN 20 MG TAB 100 UD</t>
  </si>
  <si>
    <t>PRAVASTATIN 20 MG TAB 500</t>
  </si>
  <si>
    <t>PRAVASTATIN 20 MG TAB 90</t>
  </si>
  <si>
    <t>PRAVASTATIN 40 MG TAB 100 UD</t>
  </si>
  <si>
    <t>MG SOD</t>
  </si>
  <si>
    <t>PRAVASTATIN 40 MG TAB 500</t>
  </si>
  <si>
    <t>PRAVASTATIN 40 MG TAB 90</t>
  </si>
  <si>
    <t>PRAVASTATIN 80 MG TAB 500</t>
  </si>
  <si>
    <t>PRAVASTATIN 80 MG TAB 90</t>
  </si>
  <si>
    <t>PRAVASTATIN SODIUM 10 MG TAB 100 UD</t>
  </si>
  <si>
    <t>PRAVASTATIN SODIUM 10 MG TAB 100 UD AHP</t>
  </si>
  <si>
    <t>PRAVASTATIN SODIUM 10 MG TAB 500</t>
  </si>
  <si>
    <t>PRAVASTATIN SODIUM 10 MG TAB 90</t>
  </si>
  <si>
    <t>PRAZOSIN HCL</t>
  </si>
  <si>
    <t>PRAZOSIN 1 MG CAP 100</t>
  </si>
  <si>
    <t>PRAZOSIN 1 MG CAP 100 UD</t>
  </si>
  <si>
    <t>PRAZOSIN 1 MG CAP 1000</t>
  </si>
  <si>
    <t>PRAZOSIN 2 MG CAP 100</t>
  </si>
  <si>
    <t>PRAZOSIN 2 MG CAP 100 UD</t>
  </si>
  <si>
    <t>PRAZOSIN 2 MG CAP 1000</t>
  </si>
  <si>
    <t>PRAZOSIN 5 MG CAP 500</t>
  </si>
  <si>
    <t>PREDNISOLONE ACETATE</t>
  </si>
  <si>
    <t>PRED MILD 0.12 % SUS 5 ML</t>
  </si>
  <si>
    <t>PREDNISOLONE ACETATE 1% OPH DRP 5 ML</t>
  </si>
  <si>
    <t>PREDNISONE</t>
  </si>
  <si>
    <t>PREDNISONE 1 MG TAB 100</t>
  </si>
  <si>
    <t>PREDNISONE 10 MG TAB 100</t>
  </si>
  <si>
    <t>PREDNISONE 10 MG TAB 100 UD</t>
  </si>
  <si>
    <t>PREDNISONE 10 MG TAB 1000</t>
  </si>
  <si>
    <t>PREDNISONE 10MG TAB (10X10) 100 UD AHP</t>
  </si>
  <si>
    <t>PREDNISONE 2.5 MG TAB 100</t>
  </si>
  <si>
    <t>PREDNISONE 20 MG TAB 100</t>
  </si>
  <si>
    <t>PREDNISONE 20 MG TAB 1000</t>
  </si>
  <si>
    <t>PREDNISONE 20 MG TAB 100 UD</t>
  </si>
  <si>
    <t>PREDNISONE 20 MG TAB 500</t>
  </si>
  <si>
    <t>PREDNISONE 20MG TAB (10X10) 100 UD AHP</t>
  </si>
  <si>
    <t>PREDNISONE 5 MG TAB 100</t>
  </si>
  <si>
    <t>PREDNISONE 5 MG TAB 100 UD</t>
  </si>
  <si>
    <t>PREDNISONE 5 MG TAB 1000</t>
  </si>
  <si>
    <t>PREDNISONE 50 MG TAB 100</t>
  </si>
  <si>
    <t>PREDNISONE TAB 1MG 100CT</t>
  </si>
  <si>
    <t>ESTROGENS, CONJUGATED</t>
  </si>
  <si>
    <t>PREMARIN 0.3 MG TAB 100</t>
  </si>
  <si>
    <t>PREMARIN 0.45 MG TAB 100</t>
  </si>
  <si>
    <t>PREMARIN 0.625 MG TAB 100</t>
  </si>
  <si>
    <t>0.625M</t>
  </si>
  <si>
    <t>PREMARIN 1.25 MG TAB 100</t>
  </si>
  <si>
    <t>PREMARIN VAG 0.625 MG CRM 30 GM</t>
  </si>
  <si>
    <t>VIT C/E/ZN/COPPR/LUTEIN/ZEAXAN</t>
  </si>
  <si>
    <t>PRESERVISION AREDS 2 FORM SOFTGEL 120CT</t>
  </si>
  <si>
    <t>VIT A/VIT C/VIT E/ZINC/COPPER</t>
  </si>
  <si>
    <t>PRESERVISION MULTIVIT TABLET 240CT</t>
  </si>
  <si>
    <t>CHOLESTYRAMINE/ASPARTAME</t>
  </si>
  <si>
    <t>PREVALITE PWD 60X4 GM</t>
  </si>
  <si>
    <t>PNEUMOC 13-VAL CONJ-DIP CRM/PF</t>
  </si>
  <si>
    <t>PREVNAR 13 SYG 10X0.5 ML</t>
  </si>
  <si>
    <t>DARUNAVIR/COBICISTAT</t>
  </si>
  <si>
    <t>PREZCOBIX TAB 30</t>
  </si>
  <si>
    <t>DARUNAVIR ETHANOLATE</t>
  </si>
  <si>
    <t>PREZISTA 600 MG TAB 60</t>
  </si>
  <si>
    <t>PREZISTA 800 MG TAB 30</t>
  </si>
  <si>
    <t>PROBENECID</t>
  </si>
  <si>
    <t>PROBENECID 500 MG TAB 100</t>
  </si>
  <si>
    <t>BACILLUS COAGULANS/INULIN</t>
  </si>
  <si>
    <t>PROBIOTIC FORMULA CAP 30 RUGBY</t>
  </si>
  <si>
    <t>PROCHLORPERAZINE MALEATE</t>
  </si>
  <si>
    <t>PROCHLORPERAZ 10 MG TAB 100</t>
  </si>
  <si>
    <t>PROCHLORPERAZINE 10 MG TAB 100 UD</t>
  </si>
  <si>
    <t>PROCHLORPERAZINE 5 MG TAB 100 UD</t>
  </si>
  <si>
    <t>PROCHLORPERAZINE EDISYLATE</t>
  </si>
  <si>
    <t>PROCHLORPERAZINE EDI 10MG-2ML VL 25X2ML</t>
  </si>
  <si>
    <t>MG-2ML</t>
  </si>
  <si>
    <t>EPOETIN ALFA</t>
  </si>
  <si>
    <t>PROCRIT 10K UN/ML MDV 4X2 ML</t>
  </si>
  <si>
    <t>10K</t>
  </si>
  <si>
    <t>PROCRIT 10K UN/ML VL 6X1 ML</t>
  </si>
  <si>
    <t>PROCRIT 20K UN/ML MDV 4X1</t>
  </si>
  <si>
    <t>20K</t>
  </si>
  <si>
    <t>PROCRIT 2K UN/ML VL 6X1 ML</t>
  </si>
  <si>
    <t>2K</t>
  </si>
  <si>
    <t>PROCRIT 3K UN/ML VL 6X1 ML</t>
  </si>
  <si>
    <t>3K</t>
  </si>
  <si>
    <t>PROCTOSOL-HC 2.5% CRM 30 GM</t>
  </si>
  <si>
    <t>PROCTOZONE-HC 2.5% CRM 30 GM</t>
  </si>
  <si>
    <t>PROCTOZONE-HC 2.5% CRM 30GM</t>
  </si>
  <si>
    <t>PROGESTERONE, MICRONIZED</t>
  </si>
  <si>
    <t>PROGESTERONE 100 MG CAP 100</t>
  </si>
  <si>
    <t>PROGESTERONE 200MG CAP 100</t>
  </si>
  <si>
    <t>BROMFENAC SODIUM</t>
  </si>
  <si>
    <t>PROLENSA 0.07 % SOL 3 ML</t>
  </si>
  <si>
    <t>PROMETHAZINE HCL</t>
  </si>
  <si>
    <t>PROMETHAZINE 25 MG TAB 100</t>
  </si>
  <si>
    <t>PROMETHAZINE 25 MG TAB 100 UD AHP</t>
  </si>
  <si>
    <t>PROMETHAZINE 25 MG/ML AMP 25X1 ML</t>
  </si>
  <si>
    <t>PROMETHAZINE 25 MG-ML VL 25X1 ML</t>
  </si>
  <si>
    <t>PROMETHAZINE HCL 25MG SUP 12</t>
  </si>
  <si>
    <t>25 MG</t>
  </si>
  <si>
    <t>PROMETHEGAN 25 MG SUP 12</t>
  </si>
  <si>
    <t>PROPARACAINE HCL</t>
  </si>
  <si>
    <t>PROPARACAINE 0.5% OPH DRP 15 ML</t>
  </si>
  <si>
    <t>PROPRANOLOL HCL</t>
  </si>
  <si>
    <t>PROPRANOLOL 10 MG TAB 100</t>
  </si>
  <si>
    <t>PROPRANOLOL 10 MG TAB 1000</t>
  </si>
  <si>
    <t>PROPRANOLOL 20 MG TAB 100</t>
  </si>
  <si>
    <t>PROPRANOLOL 20 MG TAB 1000</t>
  </si>
  <si>
    <t>PROPRANOLOL 40 MG TAB 100</t>
  </si>
  <si>
    <t>PROPRANOLOL 60 MG TAB 100</t>
  </si>
  <si>
    <t>PROPRANOLOL 80 MG ER CAP 100</t>
  </si>
  <si>
    <t>PROPRANOLOL 80 MG TAB 100</t>
  </si>
  <si>
    <t>PROPRANOLOL HCI 60 MG ER CAP 100</t>
  </si>
  <si>
    <t>PROPRANOLOL 80 MG TAB 500</t>
  </si>
  <si>
    <t>PROPRANOLOL HCI 80 MG ER CAP 100</t>
  </si>
  <si>
    <t>PROPRANOLOL HCL 10 MG TAB 10X10 UD</t>
  </si>
  <si>
    <t>PROPRANOLOL HYDROCHLORIDE 80MG TAB 100</t>
  </si>
  <si>
    <t>PROPYLTHIOURACIL</t>
  </si>
  <si>
    <t>PROPYLTHIOURA 50 MG TAB 100</t>
  </si>
  <si>
    <t>COAL TAR</t>
  </si>
  <si>
    <t>PSORIATAR 2% FOM 100 GM</t>
  </si>
  <si>
    <t>DORNASE ALFA</t>
  </si>
  <si>
    <t>PULMOZYME AMP 30X2.5 ML</t>
  </si>
  <si>
    <t>PURPOSE GENTLE CLEANSING BAR 6OZ</t>
  </si>
  <si>
    <t>PYRIDOSTIGMINE BROMIDE</t>
  </si>
  <si>
    <t>PYRIDOSTIG BR 60 MG TAB 100</t>
  </si>
  <si>
    <t>PYRIDOXINE HCL (VITAMIN B6)</t>
  </si>
  <si>
    <t>PYRIDOXINE 25MG TABLET 30CT VERSAPHARM</t>
  </si>
  <si>
    <t>Q-DRYL 12.5MG/5ML ELIXIR 16OZ QLT</t>
  </si>
  <si>
    <t>QUETIAPINE FUMARATE</t>
  </si>
  <si>
    <t>QUETIAPINE 200 MG TAB 100 UD AHP</t>
  </si>
  <si>
    <t>QUETIAPINE 300 MG TAB 100 UD AHP</t>
  </si>
  <si>
    <t>QUETIAPINE FUMARATE 100 MG TAB 1000</t>
  </si>
  <si>
    <t>QUETIAPINE FUMARATE 25 MG TAB 100</t>
  </si>
  <si>
    <t>QUETIAPINE FUMARATE 25 MG TAB 100 UD AHP</t>
  </si>
  <si>
    <t>QUETIAPINE FUMRATE 100 MG TAB 100 UD AHP</t>
  </si>
  <si>
    <t>QUETIAPINE USP 100 MG TAB 1000 AHP</t>
  </si>
  <si>
    <t>100 MG</t>
  </si>
  <si>
    <t>QUETIAPINE USP 200 MG TAB 500 AHP</t>
  </si>
  <si>
    <t>200 MG</t>
  </si>
  <si>
    <t>QUETIAPINE USP 25 MG TAB 100 AHP</t>
  </si>
  <si>
    <t>QUETIAPINE USP 300 MG TAB 500 AHP</t>
  </si>
  <si>
    <t>QUETIAPINE USP 400 MG TAB 500 AHP</t>
  </si>
  <si>
    <t>400 MG</t>
  </si>
  <si>
    <t>RANOLAZINE</t>
  </si>
  <si>
    <t>RANEXA 500 MG TAB 60</t>
  </si>
  <si>
    <t>RANITIDINE HCL</t>
  </si>
  <si>
    <t>RANITIDINE 150 MG TAB 100</t>
  </si>
  <si>
    <t>RANITIDINE 150 MG TAB 100 UD</t>
  </si>
  <si>
    <t>RANITIDINE 150 MG TAB 500</t>
  </si>
  <si>
    <t>RECTIV 0.4 % ONT 30 GM</t>
  </si>
  <si>
    <t>POLYVINYL ALCOHOL/POVIDONE/PF</t>
  </si>
  <si>
    <t>REFRESH P/F DRP 50X0.01 OZ UD</t>
  </si>
  <si>
    <t>CARBOXYMETHYLCELLULOSE SODIUM</t>
  </si>
  <si>
    <t>REFRESH PLUS 0.5 % DRP 50X0.4 ML UD</t>
  </si>
  <si>
    <t>REFRESH PM OINTMENT 3.5GM</t>
  </si>
  <si>
    <t>REFRESH TEARS DROP 15ML</t>
  </si>
  <si>
    <t>INFLIXIMAB</t>
  </si>
  <si>
    <t>REMICADE 100 MG VL</t>
  </si>
  <si>
    <t>SEVELAMER HCL</t>
  </si>
  <si>
    <t>RENAGEL 400 MG TAB 360</t>
  </si>
  <si>
    <t>RENAGEL 800 MG TAB 180</t>
  </si>
  <si>
    <t>SOFT LENS DISINFECTANT</t>
  </si>
  <si>
    <t>RENU FRESH MULTIPURPOSE SOLUTION 12OZ</t>
  </si>
  <si>
    <t>RENU SENSITIVE MULTIPURPOS SOLUTION 12OZ</t>
  </si>
  <si>
    <t>RENU SENSITIVE MULTIPURPOS SOLUTION 4OZ</t>
  </si>
  <si>
    <t>SEVELAMER CARBONATE</t>
  </si>
  <si>
    <t>RENVELA 800 MG TAB 270</t>
  </si>
  <si>
    <t>EVOLOCUMAB</t>
  </si>
  <si>
    <t>REPATHA PUSHTRONEX 420MG/3.5ML INJ</t>
  </si>
  <si>
    <t>CYCLOSPORINE</t>
  </si>
  <si>
    <t>RESTASIS 0.05 % VL 30X0.4 ML</t>
  </si>
  <si>
    <t>REXAM CAP WHT CRC PRESCS PK 100X30/60DR</t>
  </si>
  <si>
    <t>REXAM CAP WHT CRC PRESCS PK 200X8.5DR</t>
  </si>
  <si>
    <t>ATAZANAVIR SULFATE</t>
  </si>
  <si>
    <t>REYATAZ 200 MG CAP 60</t>
  </si>
  <si>
    <t>REYATAZ 300 MG CAP 30</t>
  </si>
  <si>
    <t>RHINOCORT OTC ALLERGY 60 SPRAY</t>
  </si>
  <si>
    <t>RHO(D) IMMUNE GLOBULIN</t>
  </si>
  <si>
    <t>RHOGAM UF300 MCG SYG 1 ASD</t>
  </si>
  <si>
    <t>RIBAVIRIN</t>
  </si>
  <si>
    <t>RIBAVIRIN 200 MG CAP 84</t>
  </si>
  <si>
    <t>RIFABUTIN</t>
  </si>
  <si>
    <t>RIFABUTIN 150 MG CAP 100</t>
  </si>
  <si>
    <t>RIFAMPIN</t>
  </si>
  <si>
    <t>RIFAMPIN 300 MG CAP 100 UD AHP</t>
  </si>
  <si>
    <t>RIFAMPIN 300 MG CAP 60</t>
  </si>
  <si>
    <t>RISPERIDONE MICROSPHERES</t>
  </si>
  <si>
    <t>RISPERDAL CON 25 MG SYG 2 ML</t>
  </si>
  <si>
    <t>RISPERDAL CON 37.5 MG SYG 2 ML</t>
  </si>
  <si>
    <t>RISPERDAL CON 50 MG SYG 2 ML</t>
  </si>
  <si>
    <t>RISPERIDONE</t>
  </si>
  <si>
    <t>RISPERIDONE 0.25 MG TAB 60</t>
  </si>
  <si>
    <t>RISPERIDONE 0.5 MG TAB 100 UD AHP</t>
  </si>
  <si>
    <t>RISPERIDONE 0.5 MG TAB 500</t>
  </si>
  <si>
    <t>RISPERIDONE 1 MG TAB 100 UD AHP</t>
  </si>
  <si>
    <t>RISPERIDONE 1 MG TAB 500</t>
  </si>
  <si>
    <t>RISPERIDONE 1 MG/ML SOL 30 ML</t>
  </si>
  <si>
    <t>RISPERIDONE 1 MG/ML SUS 30 ML</t>
  </si>
  <si>
    <t>RISPERIDONE 2 MG TAB 100 UD AHP</t>
  </si>
  <si>
    <t>RISPERIDONE 2 MG TAB 500</t>
  </si>
  <si>
    <t>RISPERIDONE 3 MG TAB 500</t>
  </si>
  <si>
    <t>RISPERIDONE 4 MG TAB 60</t>
  </si>
  <si>
    <t>ROBAFEN 100 MG/5ML SYRUP 16OZ MAJOR</t>
  </si>
  <si>
    <t>ROBAFEN 100 MG/5ML SYRUP 4OZ MAJOR</t>
  </si>
  <si>
    <t>ROSUVASTATIN CALCIUM 20MG TAB 30</t>
  </si>
  <si>
    <t>ROSUVASTATIN CALCIUM 40 MG TAB 30</t>
  </si>
  <si>
    <t>ROSUVASTATIN CALCIUM 40MG TAB 30</t>
  </si>
  <si>
    <t>ROSUVASTATIN CALCIUM 5MG TAB 30</t>
  </si>
  <si>
    <t>RX LABEL 1-15G REFRG DN FREEZ 1000CT PDN</t>
  </si>
  <si>
    <t>RX LABEL 1-672 DATE OPENED 1000CT PDN</t>
  </si>
  <si>
    <t>COLLAGENASE CLOSTRIDIUM HIST.</t>
  </si>
  <si>
    <t>SANTYL 250 U/GM ONT 30 GM</t>
  </si>
  <si>
    <t>U/GM</t>
  </si>
  <si>
    <t>ASENAPINE MALEATE</t>
  </si>
  <si>
    <t>SAPHRIS BLK CHRY 10MG TAB 60</t>
  </si>
  <si>
    <t>CHRY</t>
  </si>
  <si>
    <t>SALICYLIC ACID/SULFUR</t>
  </si>
  <si>
    <t>SEBEX SHAMPOO 4OZ RUGBY</t>
  </si>
  <si>
    <t>SELENIUM SULFIDE</t>
  </si>
  <si>
    <t>SELENIUM SULFIDE 2.5% LOT 118 ML</t>
  </si>
  <si>
    <t>MARAVIROC</t>
  </si>
  <si>
    <t>SELZENTRY 300 MG TAB 60</t>
  </si>
  <si>
    <t>SENNOSIDES</t>
  </si>
  <si>
    <t>SENNA LAXATIVE 8.6MG TAB 100UD</t>
  </si>
  <si>
    <t>TAB</t>
  </si>
  <si>
    <t>SENNA LAXATIVE TABLET 100CT QUALITEST</t>
  </si>
  <si>
    <t>SENNA SYRUP 237ML MAJOR</t>
  </si>
  <si>
    <t>CINACALCET HCL</t>
  </si>
  <si>
    <t>SENSIPAR 30 MG TAB 30</t>
  </si>
  <si>
    <t>SEROQUEL XR 300 MG TAB 60</t>
  </si>
  <si>
    <t>SERTRALINE HCL</t>
  </si>
  <si>
    <t>SERTRALINE 25 MG TAB 30</t>
  </si>
  <si>
    <t>SERTRALINE 25 MG TAB 500</t>
  </si>
  <si>
    <t>SERTRALINE 25MG TAB (10X10) 100 UD AHP</t>
  </si>
  <si>
    <t>SERTRALINE 50 MG TAB 100 UD</t>
  </si>
  <si>
    <t>SERTRALINE 50 MG TAB 500</t>
  </si>
  <si>
    <t>SERTRALINE 50 MG TAB 5000</t>
  </si>
  <si>
    <t>SERTRALINE 50MG TAB (10X10) 100 UD AHP</t>
  </si>
  <si>
    <t>SERTRALINE HCL 25 MG TAB 30</t>
  </si>
  <si>
    <t>SERTRALINE HCL 25 MG TAB 500</t>
  </si>
  <si>
    <t>SERTRALINE HCL 25 MG TAB 90</t>
  </si>
  <si>
    <t>SERTRALNE 100 MG TAB 100 UD</t>
  </si>
  <si>
    <t>SERTRALNE 100 MG TAB 500</t>
  </si>
  <si>
    <t>SERTRALNE 100 MG TAB 5000</t>
  </si>
  <si>
    <t>SILVER SULFADIAZINE</t>
  </si>
  <si>
    <t>SILVER SULFADIAZINE 1% TUBE CRM 50 GM</t>
  </si>
  <si>
    <t>TUBE</t>
  </si>
  <si>
    <t>BRINZOLAMIDE/BRIMONIDINE TART</t>
  </si>
  <si>
    <t>SIMBRINZA SUS 8 ML</t>
  </si>
  <si>
    <t>SIMETHICONE 80 MG CHW 100 UD</t>
  </si>
  <si>
    <t>GOLIMUMAB</t>
  </si>
  <si>
    <t>SIMPONI SJ 50 MG INJ</t>
  </si>
  <si>
    <t>SIMVASTATIN</t>
  </si>
  <si>
    <t>SIMVASTATIN 10 MG TAB 90</t>
  </si>
  <si>
    <t>SIROLIMUS</t>
  </si>
  <si>
    <t>SIROLIMUS 1 MG TAB 100</t>
  </si>
  <si>
    <t>SOD CHLORIDE 1GM TABLET 100CT CONS MID</t>
  </si>
  <si>
    <t>SODIUM BICARBONATE</t>
  </si>
  <si>
    <t>SODIUM BICARBONATE 10GR TABLET 100CT CMD</t>
  </si>
  <si>
    <t>SODIUM BICARBONATE POWDER 4OZ HUMCO</t>
  </si>
  <si>
    <t>SODIUM CHLORIDE IRRIG SOLUTION</t>
  </si>
  <si>
    <t>SODIUM CHLORIDE 0.9% IRRIG 16X1000 ML</t>
  </si>
  <si>
    <t>0.9 % SODIUM CHLORIDE</t>
  </si>
  <si>
    <t>SODIUM CHLORIDE 0.9% IV BAG 24X500 ML</t>
  </si>
  <si>
    <t>SODIUM CHLORIDE 0.9% IV BAG 96X50 ML</t>
  </si>
  <si>
    <t>% SP</t>
  </si>
  <si>
    <t>SODIUM CHLORIDE 5% OINTMENT 3.5GM AKORN</t>
  </si>
  <si>
    <t>SODIUM CHLORIDE 0.9% MB+ BAG 80X100 ML</t>
  </si>
  <si>
    <t>QUAD</t>
  </si>
  <si>
    <t>CITRIC ACID/SODIUM CITRATE</t>
  </si>
  <si>
    <t>SODIUM CIT-CITR 500-334 MG/5ML SOL 473ML</t>
  </si>
  <si>
    <t>ACID</t>
  </si>
  <si>
    <t>CIT/</t>
  </si>
  <si>
    <t>SODIUM POLYSTYRENE SULFONATE</t>
  </si>
  <si>
    <t>SODIUM POLY SULF 15GM-60ML SUS 10X60MLUD</t>
  </si>
  <si>
    <t>15GM</t>
  </si>
  <si>
    <t>METHYLPREDNISOLONE SOD SUCC/PF</t>
  </si>
  <si>
    <t>SOLU MEDROL 125 MG AOV 25X2 ML</t>
  </si>
  <si>
    <t>SORBITOL SOLUTION</t>
  </si>
  <si>
    <t>SORBITOL 70% SOLUTION 16OZ GERITREX</t>
  </si>
  <si>
    <t>SORBITOL 70% SOLUTION 16OZ QUALITEST</t>
  </si>
  <si>
    <t>SOTALOL HCL</t>
  </si>
  <si>
    <t>SOTALOL 80 MG TAB 100</t>
  </si>
  <si>
    <t>SPINOSAD</t>
  </si>
  <si>
    <t>SPINOSAD 0.9 % TOP SUS 120 ML</t>
  </si>
  <si>
    <t>% TOP</t>
  </si>
  <si>
    <t>TIOTROPIUM BROMIDE</t>
  </si>
  <si>
    <t>SPIRIVA 18 MCG HH CAP 30</t>
  </si>
  <si>
    <t>MCG HH</t>
  </si>
  <si>
    <t>SPIRONOLACTONE</t>
  </si>
  <si>
    <t>SPIRONOLACT 100 MG TAB 100</t>
  </si>
  <si>
    <t>SPIRONOLACT 100 MG TAB 500</t>
  </si>
  <si>
    <t>SPIRONOLACT 25 MG TAB 100</t>
  </si>
  <si>
    <t>SPIRONOLACT 25 MG TAB 1000</t>
  </si>
  <si>
    <t>SPIRONOLACTONE 100 MG TAB 100 UD</t>
  </si>
  <si>
    <t>SPIRONOLACTONE 25 MG TAB 100 UD AHP</t>
  </si>
  <si>
    <t>SPIRONOLACTONE 25 MG TAB 500</t>
  </si>
  <si>
    <t>DASATINIB</t>
  </si>
  <si>
    <t>SPRYCEL 70 MG TAB 60</t>
  </si>
  <si>
    <t>STAVUDINE</t>
  </si>
  <si>
    <t>STAVUDINE 40 MG CAP 60</t>
  </si>
  <si>
    <t>USTEKINUMAB</t>
  </si>
  <si>
    <t>STELARA 45 MG SYG 0.5 ML</t>
  </si>
  <si>
    <t>STELARA 90 MG SYG 1 ML</t>
  </si>
  <si>
    <t>REGORAFENIB</t>
  </si>
  <si>
    <t>STIVARGA40 MG TAB 3X28 ASD</t>
  </si>
  <si>
    <t>STRATTERA 10 MG CAP 30</t>
  </si>
  <si>
    <t>STRATTERA 25 MG CAP 30</t>
  </si>
  <si>
    <t>STRATTERA 40 MG CAP 30</t>
  </si>
  <si>
    <t>STRATTERA 60 MG CAP 30</t>
  </si>
  <si>
    <t>STRATTERA 80 MG CAP 30</t>
  </si>
  <si>
    <t>ELVITEG/COB/EMTRI/TENOFO DISOP</t>
  </si>
  <si>
    <t>STRIBILD TAB 30</t>
  </si>
  <si>
    <t>IVERMECTIN</t>
  </si>
  <si>
    <t>STROMECTOL 3 MG TAB 20 UD</t>
  </si>
  <si>
    <t>SUCRALFATE 1 GM TAB 100</t>
  </si>
  <si>
    <t>SUCRALFATE 1 GM TAB 500</t>
  </si>
  <si>
    <t>SUCRALFATE 1GM TAB 500</t>
  </si>
  <si>
    <t>SUDOGEST 60MG TABLET PSE 100CT MAJOR</t>
  </si>
  <si>
    <t>SULFACETAMIDE SODIUM</t>
  </si>
  <si>
    <t>SULFACET SOD 10 % TOP SUS 118 ML</t>
  </si>
  <si>
    <t>SULFADIAZINE</t>
  </si>
  <si>
    <t>SULFADIAZINE 500 MG TAB 100</t>
  </si>
  <si>
    <t>SULFAMETHOXAZOLE/TRIMETHOPRIM</t>
  </si>
  <si>
    <t>SULFAMETH/TMP 400/ 80MG TAB 100</t>
  </si>
  <si>
    <t>SULFAMETH/TMP 400/ 80MG TAB 500</t>
  </si>
  <si>
    <t>SULFAMETH/TRI 80/ 16MG VL 10X5 ML</t>
  </si>
  <si>
    <t>16MG</t>
  </si>
  <si>
    <t>80/</t>
  </si>
  <si>
    <t>SULFAMETHOXAZ-TRIMETH 800-160 MG TAB 100</t>
  </si>
  <si>
    <t>160MG</t>
  </si>
  <si>
    <t>800/</t>
  </si>
  <si>
    <t>SULFAMETHOXAZ-TRIMETH 800-160 MG TAB 500</t>
  </si>
  <si>
    <t>SULFAMETHOXAZ-TRIMETH 800-160MG TAB 80UD</t>
  </si>
  <si>
    <t>800-</t>
  </si>
  <si>
    <t>SULFAMETHOX-TRIMET 800-160 MG TAB 80 UD</t>
  </si>
  <si>
    <t>160 MG</t>
  </si>
  <si>
    <t>SULFAMTHX-TRIM 800-160 MG TAB 100 UD AHP</t>
  </si>
  <si>
    <t>SULFASALAZINE</t>
  </si>
  <si>
    <t>SULFASALAZINE 500 MG TAB 100</t>
  </si>
  <si>
    <t>SUMATRIPTAN SUCCINATE</t>
  </si>
  <si>
    <t>SUMATRIPTAN 25 MG TAB 9 UD</t>
  </si>
  <si>
    <t>SUMATRIPTAN 25 MG TAB 9 UOU</t>
  </si>
  <si>
    <t>SUMATRIPTAN 50 MG TAB 9</t>
  </si>
  <si>
    <t>SUMATRIPTAN 50 MG TAB 9 UD</t>
  </si>
  <si>
    <t>SUMATRIPTAN 50 MG TAB 9 UOU</t>
  </si>
  <si>
    <t>SUMATRIPTAN 6MG/0.5ML SDV 5X0.5 ML</t>
  </si>
  <si>
    <t>0.5 ML</t>
  </si>
  <si>
    <t>EFAVIRENZ</t>
  </si>
  <si>
    <t>SUSTIVA 600 MG TAB 30</t>
  </si>
  <si>
    <t>BUDESONIDE/FORMOTEROL FUMARATE</t>
  </si>
  <si>
    <t>SYMBICORT 120 160/ 4.5MCG INH 10.2 GM</t>
  </si>
  <si>
    <t>4.5MCG</t>
  </si>
  <si>
    <t>160/</t>
  </si>
  <si>
    <t>SYMBICORT 120 80/ 4.5MCG INH 10.2 GM</t>
  </si>
  <si>
    <t>SYMBICORT INS 160/ 4.5MCG INH 6 GM</t>
  </si>
  <si>
    <t>SYMBICORT INS 80/ 4.5MCG INH 6.9 GM</t>
  </si>
  <si>
    <t>HYLAN G-F 20</t>
  </si>
  <si>
    <t>SYNVISC SYG 3X2 ML</t>
  </si>
  <si>
    <t>MULTIVITAMIN</t>
  </si>
  <si>
    <t>TAB-A-VITE MULTIVIT TABLET 1000CT MAJ</t>
  </si>
  <si>
    <t>TAB-A-VITE RED TAB 100 UD</t>
  </si>
  <si>
    <t>TACROLIMUS</t>
  </si>
  <si>
    <t>TACROLIMUS 0.5 MG CAP 100</t>
  </si>
  <si>
    <t>TACROLIMUS 1 MG CAP 100</t>
  </si>
  <si>
    <t>TACROLIMUS 5 MG CAP 100</t>
  </si>
  <si>
    <t>TACROLIMUS OINTMENT 0.1% 30G</t>
  </si>
  <si>
    <t>TACROLIMUS ONT 0.1% 30 GM</t>
  </si>
  <si>
    <t>TACROLIMUS ONT 0.03% 30 GM</t>
  </si>
  <si>
    <t>TAMOXIFEN CITRATE</t>
  </si>
  <si>
    <t>TAMOXIFEN 10 MG TAB 60</t>
  </si>
  <si>
    <t>TAMOXIFEN CIT 10 MG TAB 60</t>
  </si>
  <si>
    <t>TAMSULOSIN HCL</t>
  </si>
  <si>
    <t>TAMSULOSIN 0.4 MG CAP 100</t>
  </si>
  <si>
    <t>TAMSULOSIN 0.4 MG CAP 100 UD</t>
  </si>
  <si>
    <t>TAMSULOSIN 0.4 MG CAP 1000</t>
  </si>
  <si>
    <t>TARGRETIN75 MG SGC 100 ASD</t>
  </si>
  <si>
    <t>NILOTINIB HCL</t>
  </si>
  <si>
    <t>TASIGNA150 MG CAP 4X28 ASD</t>
  </si>
  <si>
    <t>TASIGNA200 MG CAP 4X28 ASD</t>
  </si>
  <si>
    <t>TAZICEF 1 GM VL 25</t>
  </si>
  <si>
    <t>TAZICEF 2 GM VL 10</t>
  </si>
  <si>
    <t>TRANSPARENT DRESSING</t>
  </si>
  <si>
    <t>TEGADERM DRS 4X4.75 DRS 50</t>
  </si>
  <si>
    <t>ALISKIREN HEMIFUMARATE</t>
  </si>
  <si>
    <t>TEKTURNA 150 MG TAB 30</t>
  </si>
  <si>
    <t>TERA-GEL TAR SHAMPOO 4OZ GRX</t>
  </si>
  <si>
    <t>TERAZOSIN HCL</t>
  </si>
  <si>
    <t>TERAZOSIN 1 MG CAP 100</t>
  </si>
  <si>
    <t>TERAZOSIN 1 MG CAP 100 UD</t>
  </si>
  <si>
    <t>TERAZOSIN 10 MG CAP 100</t>
  </si>
  <si>
    <t>TERAZOSIN 10 MG CAP 1000</t>
  </si>
  <si>
    <t>TERAZOSIN 2 MG CAP 100</t>
  </si>
  <si>
    <t>TERAZOSIN 2 MG CAP 100 UD</t>
  </si>
  <si>
    <t>TERAZOSIN 2 MG CAP 1000</t>
  </si>
  <si>
    <t>TERAZOSIN 5 MG CAP 100 UD</t>
  </si>
  <si>
    <t>TERAZOSIN 5 MG CAP 500</t>
  </si>
  <si>
    <t>TERBINAFINE 1% CREAM 1OZ TARO</t>
  </si>
  <si>
    <t>TERBINAFINE 250 MG TAB 30</t>
  </si>
  <si>
    <t>TERBUTALINE SULFATE</t>
  </si>
  <si>
    <t>TERBUTALINE 5 MG TAB 100</t>
  </si>
  <si>
    <t>TESTOSTERONE CYPIONATE 200 MG/ML VL 1 ML</t>
  </si>
  <si>
    <t>TESTOSTERONE CYPIONATE 200 MG-ML VL 1 ML</t>
  </si>
  <si>
    <t>TETANUS, DIPHTHERIA TOX,ADULT</t>
  </si>
  <si>
    <t>TETANUS-DIPHTHERIA TOX 0.5ML VL 10X0.5ML</t>
  </si>
  <si>
    <t>THEOPHYLLINE ANHYDROUS</t>
  </si>
  <si>
    <t>THEOPHYLLINE 400 MG ER TAB 100</t>
  </si>
  <si>
    <t>THIAMINE HCL</t>
  </si>
  <si>
    <t>THIAMINE 200 MG VL 25X2 ML</t>
  </si>
  <si>
    <t>THIOTHIXENE</t>
  </si>
  <si>
    <t>THIOTHIXENE 5 MG CAP 100</t>
  </si>
  <si>
    <t>THYROTROPIN ALFA</t>
  </si>
  <si>
    <t>THYROGEN VL 2 DS</t>
  </si>
  <si>
    <t>TIMOLOL MALEATE</t>
  </si>
  <si>
    <t>TIMOLOL 0.5% OPH DRP 5 ML</t>
  </si>
  <si>
    <t>TIMOLOL MAL 0.5% STERILE O/S 5ML</t>
  </si>
  <si>
    <t>TIMOLOL O/S 0.25 % DRP 5 ML</t>
  </si>
  <si>
    <t>TINIDAZOLE</t>
  </si>
  <si>
    <t>TINIDAZOLE 500 MG TAB 20</t>
  </si>
  <si>
    <t>DOLUTEGRAVIR SODIUM</t>
  </si>
  <si>
    <t>TIVICAY 50 MG TAB 30</t>
  </si>
  <si>
    <t>TOBRAMYCIN/DEXAMETHASONE</t>
  </si>
  <si>
    <t>TOBRADEX O/O 3.5 GM</t>
  </si>
  <si>
    <t>TOBRAMYCIN</t>
  </si>
  <si>
    <t>TOBRAMYCIN 0.3% OPH DRP 5 ML</t>
  </si>
  <si>
    <t>TOBRAMYCIN SULFATE</t>
  </si>
  <si>
    <t>TOBRAMYCIN 40 MG/ML VL 25X2 ML</t>
  </si>
  <si>
    <t>TOBRAMYCIN-DEXAMETH 0.3-0.1% OPH 5 ML</t>
  </si>
  <si>
    <t>0.3/</t>
  </si>
  <si>
    <t>TOBREX 0.3 % O/O 3.5 GM</t>
  </si>
  <si>
    <t>TOLNAFTATE</t>
  </si>
  <si>
    <t>TOLNAFTATE 1% CREAM 0.5OZ TARO</t>
  </si>
  <si>
    <t>TOLNAFTATE 1% POWDER 45GM RUGBY</t>
  </si>
  <si>
    <t>TOPIRAMATE</t>
  </si>
  <si>
    <t>TOPIRAMATE 100 MG TAB 100 UD AHP</t>
  </si>
  <si>
    <t>TOPIRAMATE 100 MG TAB 1000</t>
  </si>
  <si>
    <t>TOPIRAMATE 25 MG TAB 100 UD AHP</t>
  </si>
  <si>
    <t>TOPIRAMATE 25 MG TAB 1000</t>
  </si>
  <si>
    <t>TOPIRAMATE 25 MG TAB 60</t>
  </si>
  <si>
    <t>TORSEMIDE</t>
  </si>
  <si>
    <t>TORSEMIDE 10 MG TAB 100</t>
  </si>
  <si>
    <t>TORSEMIDE 100 MG TAB 100</t>
  </si>
  <si>
    <t>TORSEMIDE 20 MG TAB 100</t>
  </si>
  <si>
    <t>TOTE TIE BLUE REGULAR RETURNS 100CT</t>
  </si>
  <si>
    <t>TRAMADOL HCL</t>
  </si>
  <si>
    <t>TRAMADOL 50 MG TAB 100 UD</t>
  </si>
  <si>
    <t>TRANEXAMIC ACID</t>
  </si>
  <si>
    <t>TRANEXAMIC AC 650 MG TAB 30</t>
  </si>
  <si>
    <t>SCOPOLAMINE</t>
  </si>
  <si>
    <t>TRANSDERM SCOP 1.5 MG PAT 10</t>
  </si>
  <si>
    <t>TRANSDERM SCOP 1.5 MG PAT 4</t>
  </si>
  <si>
    <t>TRANYLCYPROMINE SULFATE</t>
  </si>
  <si>
    <t>TRANYLCYPROMINE SULFATE 10MG TAB 100</t>
  </si>
  <si>
    <t>TRAVOPROST</t>
  </si>
  <si>
    <t>TRAVATAN Z 0.004 % SOL 2.5 ML</t>
  </si>
  <si>
    <t>TRAVATAN Z 0.004 % SOL 5 ML</t>
  </si>
  <si>
    <t>TRAZODONE HCL</t>
  </si>
  <si>
    <t>TRAZODONE 100 MG TAB 100 UD</t>
  </si>
  <si>
    <t>TRAZODONE 100 MG TAB 500</t>
  </si>
  <si>
    <t>TRAZODONE 150 MG TAB 500</t>
  </si>
  <si>
    <t>TRAZODONE 50 MG TAB 1000</t>
  </si>
  <si>
    <t>TRAZODONE HCL 50 MG TAB 10X10 UD</t>
  </si>
  <si>
    <t>TRETINOIN</t>
  </si>
  <si>
    <t>TRETINOIN 0.025 % CRM 45 GM</t>
  </si>
  <si>
    <t>TRETINOIN 0.025% GEL 15 GM</t>
  </si>
  <si>
    <t>TRETINOIN 0.05% CRM 20 GM</t>
  </si>
  <si>
    <t>TRETINOIN 0.1 % CRM 20 GM</t>
  </si>
  <si>
    <t>TRIAMCINO ACE 0.025 % ONT 80 GM</t>
  </si>
  <si>
    <t>TRIAMCINO ACE 0.1 % DENT PST 5 GM</t>
  </si>
  <si>
    <t>% DENT</t>
  </si>
  <si>
    <t>TRIAMCINO ACE 0.1 % LOT 60 ML</t>
  </si>
  <si>
    <t>TRIAMCINO ACE 0.5 % ONT 15 GM</t>
  </si>
  <si>
    <t>TRIAMCINOLONE ACETATE 0.1% ONT 15 GM</t>
  </si>
  <si>
    <t>TRIAMCINOLONE ACETATE 0.1% ONT 80 GM</t>
  </si>
  <si>
    <t>TRIAMCINOLONE ACETATE 0.5% CRM 15 GM</t>
  </si>
  <si>
    <t>TRIAMCINOLONE ACETONIDE 0.025% CRM 15 GM</t>
  </si>
  <si>
    <t>TRIAMCINOLONE ACETONIDE 0.025% ONT 15GM</t>
  </si>
  <si>
    <t>TRIAMCINOLONE ACETONIDE 0.1% CRM 15 GM</t>
  </si>
  <si>
    <t>TRIAMCINOLONE ACETONIDE 0.1% CRM 80 GM</t>
  </si>
  <si>
    <t>TRIAMCINOLONE ACETONIDE 0.1% ONT 15GM</t>
  </si>
  <si>
    <t>TRIAMCINOLONE ACETONIDE 0.1% ONT 80GM</t>
  </si>
  <si>
    <t>TRIAMTERENE/HYDROCHLOROTHIAZID</t>
  </si>
  <si>
    <t>TRIAMTER/HCTZ 37.5/25MG CAP 1000</t>
  </si>
  <si>
    <t>/25MG</t>
  </si>
  <si>
    <t>TRIAMTER/HCTZ 75/ 50MG TAB 100</t>
  </si>
  <si>
    <t>75/</t>
  </si>
  <si>
    <t>FENOFIBRATE NANOCRYSTALLIZED</t>
  </si>
  <si>
    <t>TRICOR 145 MG TAB 90</t>
  </si>
  <si>
    <t>TRIFLUOPERAZINE HCL</t>
  </si>
  <si>
    <t>TRIFLUOPERAZINE HCL 10MG TAB 100</t>
  </si>
  <si>
    <t>TRIFLUOPERAZINE HCL 5MG TAB 100</t>
  </si>
  <si>
    <t>TRIFLURIDINE</t>
  </si>
  <si>
    <t>TRIFLURID O/S 1 % DRP 7.5 ML</t>
  </si>
  <si>
    <t>TRIHEXYPHENIDYL HCL</t>
  </si>
  <si>
    <t>TRIHEXYPHENID 2 MG TAB 100</t>
  </si>
  <si>
    <t>TRIHEXYPHENID 5 MG TAB 100</t>
  </si>
  <si>
    <t>POLYMYXIN B SULF/TRIMETHOPRIM</t>
  </si>
  <si>
    <t>TRIMETHOPRIM-POLYMYXIN B OPH DRP 10 ML</t>
  </si>
  <si>
    <t>POLYMY</t>
  </si>
  <si>
    <t>SULF</t>
  </si>
  <si>
    <t>VORTIOXETINE HYDROBROMIDE</t>
  </si>
  <si>
    <t>TRINTELLIX 20 MG TAB 30</t>
  </si>
  <si>
    <t>ABACAVIR/DOLUTEGRAVIR/LAMIVUDI</t>
  </si>
  <si>
    <t>TRIUMEQ TAB 30</t>
  </si>
  <si>
    <t>TROPICAMIDE</t>
  </si>
  <si>
    <t>TROPICACYL 1% OPH DRP 15 ML</t>
  </si>
  <si>
    <t>TROPICAMIDE 0.5 % DRP 15 ML</t>
  </si>
  <si>
    <t>TROPICAMIDE 0.5 % OPHT SOL 15 ML</t>
  </si>
  <si>
    <t>% OPHT</t>
  </si>
  <si>
    <t>TROPICAMIDE 1% OPH DRP 15 ML</t>
  </si>
  <si>
    <t>EMTRICITABINE/TENOFOVIR (TDF)</t>
  </si>
  <si>
    <t>TRUVADA 200/300 MG TAB 30</t>
  </si>
  <si>
    <t>TUBERCULIN,PURIF.PROT.DERIV.</t>
  </si>
  <si>
    <t>TUBERSOL 5TU 10TEST VL 1 ML</t>
  </si>
  <si>
    <t>10TEST</t>
  </si>
  <si>
    <t>5TU</t>
  </si>
  <si>
    <t>TUBERSOL 5TU 50TEST VL 5 ML</t>
  </si>
  <si>
    <t>50TEST</t>
  </si>
  <si>
    <t>TUCKS PAD 100CT</t>
  </si>
  <si>
    <t>FEBUXOSTAT</t>
  </si>
  <si>
    <t>ULORIC 40 MG TAB 30</t>
  </si>
  <si>
    <t>ULORIC 80 MG TAB 30</t>
  </si>
  <si>
    <t>UNASYN 3 GM VL 10</t>
  </si>
  <si>
    <t>UREA</t>
  </si>
  <si>
    <t>UREA 20% CREAM 3OZ STRATUS</t>
  </si>
  <si>
    <t>UREA 40% CREAM 7OZ BOTTLE</t>
  </si>
  <si>
    <t>URSODIOL</t>
  </si>
  <si>
    <t>URSODIOL 300 MG CAP 100</t>
  </si>
  <si>
    <t>VALACYCLOVIR HCL</t>
  </si>
  <si>
    <t>VALACYCLOVIR 1 GM TAB 30</t>
  </si>
  <si>
    <t>VALACYCLOVIR 500 MG TAB 30</t>
  </si>
  <si>
    <t>VALGANCICLOVIR HCL</t>
  </si>
  <si>
    <t>VALGANCICLOVIR 450 MG TAB 60</t>
  </si>
  <si>
    <t>VALGANCICLOVIR 450MG 30 UD TABS AHP</t>
  </si>
  <si>
    <t>VALPROIC ACID</t>
  </si>
  <si>
    <t>VALPROIC ACID 250 MG CAP 100 UD</t>
  </si>
  <si>
    <t>VALPROIC ACID (AS SODIUM SALT)</t>
  </si>
  <si>
    <t>VALPROIC ACID 250 MG-5 ML SOL 473ML</t>
  </si>
  <si>
    <t>VALPROIC ACID 250 MG-5 ML SYR 473ML</t>
  </si>
  <si>
    <t>VALPROIC ACID 250MG SGC 100</t>
  </si>
  <si>
    <t>VALSARTAN</t>
  </si>
  <si>
    <t>VALSARTAN 40 MG TAB 30</t>
  </si>
  <si>
    <t>VANCOMYCIN HCL</t>
  </si>
  <si>
    <t>VANCOMYCIN 1 GM FTV 10</t>
  </si>
  <si>
    <t>VANCOMYCIN 1 GM VL 10</t>
  </si>
  <si>
    <t>VANCOMYCIN 1 GM VL 10X1 GM</t>
  </si>
  <si>
    <t>VANCOMYCIN 500 MG VL 10</t>
  </si>
  <si>
    <t>VAPORUB JAR 50GM</t>
  </si>
  <si>
    <t>VENLAFAXINE HCL</t>
  </si>
  <si>
    <t>VENLAFAXINE 100 MG TAB 100 AHP</t>
  </si>
  <si>
    <t>VENLAFAXINE 150 MG ER CAP 100 UD AHP</t>
  </si>
  <si>
    <t>VENLAFAXINE 25 MG TAB 100</t>
  </si>
  <si>
    <t>VENLAFAXINE 37.5 MG TAB 100</t>
  </si>
  <si>
    <t>VENLAFAXINE 37.5 MG TAB 100 UD</t>
  </si>
  <si>
    <t>VENLAFAXINE 50 MG TAB 100</t>
  </si>
  <si>
    <t>VENLAFAXINE 75 MG TAB 100 AHP</t>
  </si>
  <si>
    <t>VENLAFAXINE 75MG 100 UD TABS AHP</t>
  </si>
  <si>
    <t>VENLAFAXINE ER 150 MG CAP 1000</t>
  </si>
  <si>
    <t>VENLAFAXINE ER 150 MG CAP 90</t>
  </si>
  <si>
    <t>VENLAFAXINE ER 37.5 MG CAP 1000</t>
  </si>
  <si>
    <t>VENLAFAXINE ER 75 MG CAP 1000</t>
  </si>
  <si>
    <t>IRON SUCROSE COMPLEX</t>
  </si>
  <si>
    <t>VENOFER 20 MG/ML SDV 10X5 ML</t>
  </si>
  <si>
    <t>VENTOLIN HFA 90 MCG INH 18 GM</t>
  </si>
  <si>
    <t>VENTOLIN HFA 90 MCG INH 8 GM</t>
  </si>
  <si>
    <t>VENTOLIN HFA INST INH 8 GM</t>
  </si>
  <si>
    <t>INST</t>
  </si>
  <si>
    <t>VERAPAMIL HCL</t>
  </si>
  <si>
    <t>VERAPAMIL 40 MG TAB 100</t>
  </si>
  <si>
    <t>VERAPAMIL HCL 180 MG ER TAB 500</t>
  </si>
  <si>
    <t>VERAPAMIL HCL 240 MG ER TAB 100</t>
  </si>
  <si>
    <t>VERAPAMIL HCL 240 MG ER TAB 500</t>
  </si>
  <si>
    <t>VERAPAMIL HCL120 MG ER TAB 100</t>
  </si>
  <si>
    <t>MOXIFLOXACIN HCL</t>
  </si>
  <si>
    <t>VIGAMOX 0.5 % SOL 3 ML</t>
  </si>
  <si>
    <t>LACOSAMIDE</t>
  </si>
  <si>
    <t>VIMPAT 100 MG TAB 60 UD</t>
  </si>
  <si>
    <t>VIMPAT 200 MG TAB 60 UD</t>
  </si>
  <si>
    <t>VIMPAT 50 MG TAB 60 UD</t>
  </si>
  <si>
    <t>VIRAMUNE 50 MG/5ML SUS 240 ML</t>
  </si>
  <si>
    <t>TENOFOVIR DISOPROXIL FUMARATE</t>
  </si>
  <si>
    <t>VIREAD 300 MG TAB 30</t>
  </si>
  <si>
    <t>NAPHAZOLINE HCL/PHENIRAMINE</t>
  </si>
  <si>
    <t>VISINE-A ALLERGY DROP 0.5OZ</t>
  </si>
  <si>
    <t>VITS A AND D/WHITE PET/LANOLIN</t>
  </si>
  <si>
    <t>VIT A&amp;D OINTMENT 60GM GERITREX</t>
  </si>
  <si>
    <t>VIT A&amp;DOINTMENT 4OZ PERRIGO</t>
  </si>
  <si>
    <t>THIAMINE MONONITRATE (VIT B1)</t>
  </si>
  <si>
    <t>VIT B1 100 MG TAB 10X10 UD</t>
  </si>
  <si>
    <t>VIT B1 100MG TABLET 1000CT RUGBY</t>
  </si>
  <si>
    <t>VIT B1 100MG TABLET 100CT RUGBY</t>
  </si>
  <si>
    <t>VIT B1 50MG TABLET 100CT RUGBY</t>
  </si>
  <si>
    <t>VIT B12 1000MCG TABLET 100CT RUGBY</t>
  </si>
  <si>
    <t>VIT B12 1000MCG TABLET 130CT MAJOR</t>
  </si>
  <si>
    <t>VIT B12 100MCG TABLET 100CT RUGBY</t>
  </si>
  <si>
    <t>VIT B12 250MCG TABLET 130CT MAJOR</t>
  </si>
  <si>
    <t>RIBOFLAVIN (VITAMIN B2)</t>
  </si>
  <si>
    <t>VIT B2 100MG TABLET 100CT MAGNO</t>
  </si>
  <si>
    <t>VIT B6 100MG TABLET 100CT MAJOR</t>
  </si>
  <si>
    <t>VIT B6 50MG TABLET 1000CT RUGBY</t>
  </si>
  <si>
    <t>ASCORBIC ACID</t>
  </si>
  <si>
    <t>VIT C 250MG TABLET 100CT MAJOR</t>
  </si>
  <si>
    <t>VIT C 500MG TABLET 1000CT MAJOR</t>
  </si>
  <si>
    <t>CHOLECALCIFEROL (VITAMIN D3)</t>
  </si>
  <si>
    <t>VIT D 1000IU TABLET 100CT MAJOR</t>
  </si>
  <si>
    <t>VIT D 400IU TABLET 100CT MAJOR</t>
  </si>
  <si>
    <t>VIT D 5000IU TABLET 110CT 21CENT</t>
  </si>
  <si>
    <t>VITAMIN E (DL,TOCOPHERYL ACET)</t>
  </si>
  <si>
    <t>VIT E 400IU DL-AL CAPSULE 100CT MAJOR</t>
  </si>
  <si>
    <t>VIT E 100IU DL-ALPHA CAPSULE 100CT MAJOR</t>
  </si>
  <si>
    <t>VIT K 10 MG AMP 25X1 ML</t>
  </si>
  <si>
    <t>VITAMIN B1 100 MG TAB 5X10 UD</t>
  </si>
  <si>
    <t>VITAMIN B-12 1000MCG TABLETS 100CT</t>
  </si>
  <si>
    <t>ERGOCALCIFEROL (VITAMIN D2)</t>
  </si>
  <si>
    <t>VITAMIN D 50 MU CAP 100</t>
  </si>
  <si>
    <t>U</t>
  </si>
  <si>
    <t>50M</t>
  </si>
  <si>
    <t>PRENATAL VIT,CAL 73/IRON/FOLIC</t>
  </si>
  <si>
    <t>VOL-NATE TAB 100</t>
  </si>
  <si>
    <t>VORICONAZOLE</t>
  </si>
  <si>
    <t>VORICONAZOLE 200 MG TAB 30</t>
  </si>
  <si>
    <t>VORICONAZOLE 50 MG TAB 30</t>
  </si>
  <si>
    <t>EZETIMIBE/SIMVASTATIN</t>
  </si>
  <si>
    <t>VYTORIN 10/ 10MG TAB 30</t>
  </si>
  <si>
    <t>10/</t>
  </si>
  <si>
    <t>VYTORIN 10/ 40MG TAB 30</t>
  </si>
  <si>
    <t>LISDEXAMFETAMINE DIMESYLATE</t>
  </si>
  <si>
    <t>VYVANSE 20 MG CAP 100</t>
  </si>
  <si>
    <t>VYVANSE 30 MG CAP 100</t>
  </si>
  <si>
    <t>VYVANSE 40 MG CAP 100</t>
  </si>
  <si>
    <t>VYVANSE 50 MG CAP 100</t>
  </si>
  <si>
    <t>VYVANSE 60 MG CAP 100</t>
  </si>
  <si>
    <t>VYVANSE 70 MG CAP 100</t>
  </si>
  <si>
    <t>WELLBUTRIN SR 150 MG TAB 60</t>
  </si>
  <si>
    <t>RIVAROXABAN</t>
  </si>
  <si>
    <t>XARELTO 10 MG TAB 30</t>
  </si>
  <si>
    <t>XARELTO 15 MG TAB 30</t>
  </si>
  <si>
    <t>XARELTO 20 MG TAB 30</t>
  </si>
  <si>
    <t>DENOSUMAB</t>
  </si>
  <si>
    <t>XGEVA 120 MG SDV 1</t>
  </si>
  <si>
    <t>RIFAXIMIN</t>
  </si>
  <si>
    <t>XIFAXAN 200 MG TAB 30</t>
  </si>
  <si>
    <t>XIFAXAN 550 MG TAB 60</t>
  </si>
  <si>
    <t>OMALIZUMAB</t>
  </si>
  <si>
    <t>XOLAIR150 MG VL 1.2 ML ASD</t>
  </si>
  <si>
    <t>LEVALBUTEROL TARTRATE</t>
  </si>
  <si>
    <t>XOPENEX HFA INH 15 GM</t>
  </si>
  <si>
    <t>XYLOCAINE 1% VL 25X20 ML</t>
  </si>
  <si>
    <t>XYLOCAINE 2% MDV 25X10 ML</t>
  </si>
  <si>
    <t>XYLOCAINE-EPINEPH 1%-1:100K VL 25X20 ML</t>
  </si>
  <si>
    <t>LIDOCAINE HCL/EPINEPHRINE/PF</t>
  </si>
  <si>
    <t>XYLOCAINE-EPINEPH 2%-1:200K VL 5X20 ML</t>
  </si>
  <si>
    <t>1:200K</t>
  </si>
  <si>
    <t>2%/</t>
  </si>
  <si>
    <t>ZAFIRLUKAST</t>
  </si>
  <si>
    <t>ZAFIRLUKAST 10 MG TAB 60</t>
  </si>
  <si>
    <t>ZAFIRLUKAST 20 MG TAB UD 30 AHP</t>
  </si>
  <si>
    <t>PARICALCITOL</t>
  </si>
  <si>
    <t>ZEMPLAR 5 MCG/ML FTV 25X1 ML</t>
  </si>
  <si>
    <t>EZETIMIBE</t>
  </si>
  <si>
    <t>ZETIA 10 MG TAB 90</t>
  </si>
  <si>
    <t>ZIDOVUDINE</t>
  </si>
  <si>
    <t>ZIDOVUDINE 300 MG TAB 60</t>
  </si>
  <si>
    <t>ZINC OXIDE</t>
  </si>
  <si>
    <t>ZINC OXIDE OINTMENT 2OZ FOUGERA</t>
  </si>
  <si>
    <t>ZIPRASIDONE 20 MG CAP 60 AHP</t>
  </si>
  <si>
    <t>ZIPRASIDONE 20MG 80 UD CAPS AHP</t>
  </si>
  <si>
    <t>20 MG</t>
  </si>
  <si>
    <t>ZIPRASIDONE 40 MG CAP 60 AHP</t>
  </si>
  <si>
    <t>ZIPRASIDONE 40MG 80 UD CAPS AHP</t>
  </si>
  <si>
    <t>40 MG</t>
  </si>
  <si>
    <t>ZIPRASIDONE 60 MG CAP 60 AHP</t>
  </si>
  <si>
    <t>ZIPRASIDONE 60MG 80 UD CAPS AHP</t>
  </si>
  <si>
    <t>60 MG</t>
  </si>
  <si>
    <t>ZIPRASIDONE 80 MG CAP 60 AHP</t>
  </si>
  <si>
    <t>ZIPRASIDONE 80 MG CAP 60</t>
  </si>
  <si>
    <t>GANCICLOVIR</t>
  </si>
  <si>
    <t>ZIRGAN 0.15 % GEL 5 GM</t>
  </si>
  <si>
    <t>ZONISAMIDE</t>
  </si>
  <si>
    <t>ZONISAMIDE 100 MG CAP 100</t>
  </si>
  <si>
    <t>ZONISAMIDE 50 MG CAP 100 AHP</t>
  </si>
  <si>
    <t>ZYMAXID 0.5 % O/S 2.5 ML</t>
  </si>
  <si>
    <t>ZYPREXA ZYDIS 10 MG TAB 30</t>
  </si>
  <si>
    <t>ZYPREXA ZYDIS 15 MG TAB 30</t>
  </si>
  <si>
    <t>ZYPREXA ZYDIS 20 MG TAB 30</t>
  </si>
  <si>
    <t>Respondent Per Unit Price</t>
  </si>
  <si>
    <t>00074262528</t>
  </si>
  <si>
    <t>MAVYRET</t>
  </si>
  <si>
    <t xml:space="preserve">MAVYRET 100-40MG </t>
  </si>
  <si>
    <t>110/40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</si>
</sst>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1" xfId="0" applyFill="1" applyBorder="1"/>
    <xf numFmtId="0" fontId="0" fillId="0" borderId="0" xfId="0" applyFill="1" applyBorder="1"/>
    <xf numFmtId="0" fontId="0" fillId="2" borderId="0" xfId="0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9" fontId="0" fillId="2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26"/>
  <sheetViews>
    <sheetView showGridLines="0" tabSelected="1" workbookViewId="0">
      <pane xSplit="1" ySplit="1" topLeftCell="B23" activePane="bottomRight" state="frozen"/>
      <selection pane="topRight" activeCell="F1" sqref="F1"/>
      <selection pane="bottomLeft" activeCell="A2" sqref="A2"/>
      <selection pane="bottomRight" activeCell="A1080" sqref="A1080:XFD1925"/>
    </sheetView>
  </sheetViews>
  <sheetFormatPr defaultColWidth="8.85546875" defaultRowHeight="15" zeroHeight="1" x14ac:dyDescent="0.25"/>
  <cols>
    <col min="1" max="1" width="13.42578125" bestFit="1" customWidth="1"/>
    <col min="2" max="2" width="39.140625" customWidth="1"/>
    <col min="3" max="3" width="45.7109375" customWidth="1"/>
    <col min="4" max="4" width="12.28515625" customWidth="1"/>
    <col min="5" max="5" width="18" style="10" customWidth="1"/>
    <col min="6" max="6" width="16.42578125" style="11" customWidth="1"/>
    <col min="7" max="7" width="9.140625" customWidth="1"/>
    <col min="8" max="8" width="1.5703125" style="6" customWidth="1"/>
    <col min="9" max="9" width="11.85546875" customWidth="1"/>
    <col min="10" max="10" width="1.42578125" style="6" customWidth="1"/>
    <col min="11" max="11" width="72.140625" style="6" customWidth="1"/>
    <col min="12" max="12" width="3.28515625" style="6" customWidth="1"/>
    <col min="13" max="16384" width="8.85546875" style="6"/>
  </cols>
  <sheetData>
    <row r="1" spans="1:11" s="2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I1" s="1" t="s">
        <v>2670</v>
      </c>
      <c r="K1" s="2" t="s">
        <v>7</v>
      </c>
    </row>
    <row r="2" spans="1:11" x14ac:dyDescent="0.25">
      <c r="A2" s="3" t="str">
        <f>"85412000508"</f>
        <v>85412000508</v>
      </c>
      <c r="B2" s="3" t="s">
        <v>8</v>
      </c>
      <c r="C2" s="3" t="s">
        <v>8</v>
      </c>
      <c r="D2" s="3">
        <v>50</v>
      </c>
      <c r="E2" s="4"/>
      <c r="F2" s="5"/>
      <c r="G2" s="3"/>
      <c r="I2" s="7"/>
      <c r="J2" s="8"/>
      <c r="K2" s="9"/>
    </row>
    <row r="3" spans="1:11" x14ac:dyDescent="0.25">
      <c r="A3" t="str">
        <f>"60505358306"</f>
        <v>60505358306</v>
      </c>
      <c r="B3" t="s">
        <v>9</v>
      </c>
      <c r="C3" t="s">
        <v>10</v>
      </c>
      <c r="D3">
        <v>60</v>
      </c>
      <c r="E3" s="10" t="s">
        <v>11</v>
      </c>
      <c r="F3" s="11">
        <v>300</v>
      </c>
      <c r="G3">
        <v>60</v>
      </c>
      <c r="I3" s="12"/>
      <c r="J3" s="8"/>
      <c r="K3" s="13"/>
    </row>
    <row r="4" spans="1:11" x14ac:dyDescent="0.25">
      <c r="A4" s="3" t="str">
        <f>"65862007360"</f>
        <v>65862007360</v>
      </c>
      <c r="B4" s="3" t="s">
        <v>9</v>
      </c>
      <c r="C4" s="3" t="s">
        <v>10</v>
      </c>
      <c r="D4" s="3">
        <v>60</v>
      </c>
      <c r="E4" s="4" t="s">
        <v>11</v>
      </c>
      <c r="F4" s="5">
        <v>300</v>
      </c>
      <c r="G4" s="3">
        <v>60</v>
      </c>
      <c r="I4" s="7"/>
      <c r="J4" s="8"/>
      <c r="K4" s="9"/>
    </row>
    <row r="5" spans="1:11" x14ac:dyDescent="0.25">
      <c r="A5" t="str">
        <f>"00093538256"</f>
        <v>00093538256</v>
      </c>
      <c r="B5" t="s">
        <v>12</v>
      </c>
      <c r="C5" t="s">
        <v>13</v>
      </c>
      <c r="D5">
        <v>30</v>
      </c>
      <c r="E5" s="10" t="s">
        <v>11</v>
      </c>
      <c r="F5" s="11" t="s">
        <v>14</v>
      </c>
      <c r="G5">
        <v>30</v>
      </c>
      <c r="I5" s="12"/>
      <c r="J5" s="8"/>
      <c r="K5" s="13"/>
    </row>
    <row r="6" spans="1:11" x14ac:dyDescent="0.25">
      <c r="A6" s="3" t="str">
        <f>"68180028607"</f>
        <v>68180028607</v>
      </c>
      <c r="B6" s="3" t="s">
        <v>15</v>
      </c>
      <c r="C6" s="3" t="s">
        <v>16</v>
      </c>
      <c r="D6" s="3">
        <v>60</v>
      </c>
      <c r="E6" s="4" t="s">
        <v>11</v>
      </c>
      <c r="F6" s="5" t="s">
        <v>17</v>
      </c>
      <c r="G6" s="3">
        <v>60</v>
      </c>
      <c r="I6" s="7"/>
      <c r="J6" s="8"/>
      <c r="K6" s="9"/>
    </row>
    <row r="7" spans="1:11" x14ac:dyDescent="0.25">
      <c r="A7" t="str">
        <f>"00536012285"</f>
        <v>00536012285</v>
      </c>
      <c r="B7" t="s">
        <v>18</v>
      </c>
      <c r="C7" t="s">
        <v>19</v>
      </c>
      <c r="D7">
        <v>16</v>
      </c>
      <c r="E7" s="10" t="s">
        <v>20</v>
      </c>
      <c r="F7" s="11" t="s">
        <v>21</v>
      </c>
      <c r="G7">
        <v>473</v>
      </c>
      <c r="I7" s="12"/>
      <c r="J7" s="8"/>
      <c r="K7" s="13"/>
    </row>
    <row r="8" spans="1:11" x14ac:dyDescent="0.25">
      <c r="A8" s="3" t="str">
        <f>"45802073033"</f>
        <v>45802073033</v>
      </c>
      <c r="B8" s="3" t="s">
        <v>18</v>
      </c>
      <c r="C8" s="3" t="s">
        <v>22</v>
      </c>
      <c r="D8" s="3">
        <v>100</v>
      </c>
      <c r="E8" s="4" t="s">
        <v>11</v>
      </c>
      <c r="F8" s="5">
        <v>650</v>
      </c>
      <c r="G8" s="3">
        <v>100</v>
      </c>
      <c r="I8" s="7"/>
      <c r="J8" s="8"/>
      <c r="K8" s="9"/>
    </row>
    <row r="9" spans="1:11" x14ac:dyDescent="0.25">
      <c r="A9" t="str">
        <f>"68084037201"</f>
        <v>68084037201</v>
      </c>
      <c r="B9" t="s">
        <v>23</v>
      </c>
      <c r="C9" t="s">
        <v>24</v>
      </c>
      <c r="D9">
        <v>100</v>
      </c>
      <c r="E9" s="10" t="s">
        <v>11</v>
      </c>
      <c r="F9" s="11">
        <v>30</v>
      </c>
      <c r="G9">
        <v>100</v>
      </c>
      <c r="I9" s="12"/>
      <c r="J9" s="8"/>
      <c r="K9" s="13"/>
    </row>
    <row r="10" spans="1:11" x14ac:dyDescent="0.25">
      <c r="A10" s="3" t="str">
        <f>"47682080313"</f>
        <v>47682080313</v>
      </c>
      <c r="B10" s="3" t="s">
        <v>18</v>
      </c>
      <c r="C10" s="3" t="s">
        <v>25</v>
      </c>
      <c r="D10" s="3">
        <v>500</v>
      </c>
      <c r="E10" s="4" t="s">
        <v>11</v>
      </c>
      <c r="F10" s="5">
        <v>325</v>
      </c>
      <c r="G10" s="3">
        <v>2</v>
      </c>
      <c r="I10" s="7"/>
      <c r="J10" s="8"/>
      <c r="K10" s="9"/>
    </row>
    <row r="11" spans="1:11" x14ac:dyDescent="0.25">
      <c r="A11" t="str">
        <f>"63739044001"</f>
        <v>63739044001</v>
      </c>
      <c r="B11" t="s">
        <v>18</v>
      </c>
      <c r="C11" t="s">
        <v>26</v>
      </c>
      <c r="D11">
        <v>750</v>
      </c>
      <c r="E11" s="10" t="s">
        <v>11</v>
      </c>
      <c r="F11" s="11">
        <v>325</v>
      </c>
      <c r="G11">
        <v>750</v>
      </c>
      <c r="I11" s="12"/>
      <c r="J11" s="8"/>
      <c r="K11" s="13"/>
    </row>
    <row r="12" spans="1:11" x14ac:dyDescent="0.25">
      <c r="A12" s="3" t="str">
        <f>"00406048462"</f>
        <v>00406048462</v>
      </c>
      <c r="B12" s="3" t="s">
        <v>23</v>
      </c>
      <c r="C12" s="3" t="s">
        <v>27</v>
      </c>
      <c r="D12" s="3">
        <v>100</v>
      </c>
      <c r="E12" s="4" t="s">
        <v>11</v>
      </c>
      <c r="F12" s="5" t="s">
        <v>28</v>
      </c>
      <c r="G12" s="3">
        <v>100</v>
      </c>
      <c r="I12" s="7"/>
      <c r="J12" s="8"/>
      <c r="K12" s="9"/>
    </row>
    <row r="13" spans="1:11" x14ac:dyDescent="0.25">
      <c r="A13" t="str">
        <f>"51079016120"</f>
        <v>51079016120</v>
      </c>
      <c r="B13" t="s">
        <v>23</v>
      </c>
      <c r="C13" t="s">
        <v>27</v>
      </c>
      <c r="D13">
        <v>100</v>
      </c>
      <c r="E13" s="10" t="s">
        <v>11</v>
      </c>
      <c r="F13" s="11">
        <v>30</v>
      </c>
      <c r="G13">
        <v>100</v>
      </c>
      <c r="I13" s="12"/>
      <c r="J13" s="8"/>
      <c r="K13" s="13"/>
    </row>
    <row r="14" spans="1:11" x14ac:dyDescent="0.25">
      <c r="A14" s="3" t="str">
        <f>"51672402201"</f>
        <v>51672402201</v>
      </c>
      <c r="B14" s="3" t="s">
        <v>29</v>
      </c>
      <c r="C14" s="3" t="s">
        <v>30</v>
      </c>
      <c r="D14" s="3">
        <v>100</v>
      </c>
      <c r="E14" s="4" t="s">
        <v>11</v>
      </c>
      <c r="F14" s="5">
        <v>125</v>
      </c>
      <c r="G14" s="3">
        <v>100</v>
      </c>
      <c r="I14" s="7"/>
      <c r="J14" s="8"/>
      <c r="K14" s="9"/>
    </row>
    <row r="15" spans="1:11" x14ac:dyDescent="0.25">
      <c r="A15" t="str">
        <f>"51672402301"</f>
        <v>51672402301</v>
      </c>
      <c r="B15" t="s">
        <v>29</v>
      </c>
      <c r="C15" t="s">
        <v>31</v>
      </c>
      <c r="D15">
        <v>100</v>
      </c>
      <c r="E15" s="10" t="s">
        <v>11</v>
      </c>
      <c r="F15" s="11">
        <v>250</v>
      </c>
      <c r="G15">
        <v>100</v>
      </c>
      <c r="I15" s="12"/>
      <c r="J15" s="8"/>
      <c r="K15" s="13"/>
    </row>
    <row r="16" spans="1:11" x14ac:dyDescent="0.25">
      <c r="A16" s="3" t="str">
        <f>"68382026101"</f>
        <v>68382026101</v>
      </c>
      <c r="B16" s="3" t="s">
        <v>29</v>
      </c>
      <c r="C16" s="3" t="s">
        <v>32</v>
      </c>
      <c r="D16" s="3">
        <v>100</v>
      </c>
      <c r="E16" s="4" t="s">
        <v>33</v>
      </c>
      <c r="F16" s="5">
        <v>500</v>
      </c>
      <c r="G16" s="3">
        <v>100</v>
      </c>
      <c r="I16" s="7"/>
      <c r="J16" s="8"/>
      <c r="K16" s="9"/>
    </row>
    <row r="17" spans="1:11" x14ac:dyDescent="0.25">
      <c r="A17" t="str">
        <f>"50383088915"</f>
        <v>50383088915</v>
      </c>
      <c r="B17" t="s">
        <v>34</v>
      </c>
      <c r="C17" t="s">
        <v>35</v>
      </c>
      <c r="D17">
        <v>15</v>
      </c>
      <c r="E17" s="10" t="s">
        <v>36</v>
      </c>
      <c r="F17" s="11">
        <v>0.02</v>
      </c>
      <c r="G17">
        <v>15</v>
      </c>
      <c r="I17" s="12"/>
      <c r="J17" s="8"/>
      <c r="K17" s="13"/>
    </row>
    <row r="18" spans="1:11" x14ac:dyDescent="0.25">
      <c r="A18" s="3" t="str">
        <f>"60432074115"</f>
        <v>60432074115</v>
      </c>
      <c r="B18" s="3" t="s">
        <v>34</v>
      </c>
      <c r="C18" s="3" t="s">
        <v>35</v>
      </c>
      <c r="D18" s="3">
        <v>15</v>
      </c>
      <c r="E18" s="4" t="s">
        <v>36</v>
      </c>
      <c r="F18" s="5">
        <v>0.02</v>
      </c>
      <c r="G18" s="3">
        <v>15</v>
      </c>
      <c r="I18" s="7"/>
      <c r="J18" s="8"/>
      <c r="K18" s="9"/>
    </row>
    <row r="19" spans="1:11" x14ac:dyDescent="0.25">
      <c r="A19" t="str">
        <f>"50383090110"</f>
        <v>50383090110</v>
      </c>
      <c r="B19" t="s">
        <v>37</v>
      </c>
      <c r="C19" t="s">
        <v>38</v>
      </c>
      <c r="D19">
        <v>10</v>
      </c>
      <c r="E19" s="10" t="s">
        <v>36</v>
      </c>
      <c r="F19" s="11" t="s">
        <v>39</v>
      </c>
      <c r="G19">
        <v>10</v>
      </c>
      <c r="I19" s="12"/>
      <c r="J19" s="8"/>
      <c r="K19" s="13"/>
    </row>
    <row r="20" spans="1:11" x14ac:dyDescent="0.25">
      <c r="A20" s="3" t="str">
        <f>"51672300701"</f>
        <v>51672300701</v>
      </c>
      <c r="B20" s="3" t="s">
        <v>37</v>
      </c>
      <c r="C20" s="3" t="s">
        <v>38</v>
      </c>
      <c r="D20" s="3">
        <v>10</v>
      </c>
      <c r="E20" s="4" t="s">
        <v>40</v>
      </c>
      <c r="F20" s="5" t="s">
        <v>39</v>
      </c>
      <c r="G20" s="3">
        <v>10</v>
      </c>
      <c r="I20" s="7"/>
      <c r="J20" s="8"/>
      <c r="K20" s="9"/>
    </row>
    <row r="21" spans="1:11" x14ac:dyDescent="0.25">
      <c r="A21" t="str">
        <f>"63323069030"</f>
        <v>63323069030</v>
      </c>
      <c r="B21" t="s">
        <v>41</v>
      </c>
      <c r="C21" t="s">
        <v>42</v>
      </c>
      <c r="D21">
        <v>90</v>
      </c>
      <c r="E21" s="10" t="s">
        <v>43</v>
      </c>
      <c r="F21" s="11">
        <v>20</v>
      </c>
      <c r="G21">
        <v>30</v>
      </c>
      <c r="I21" s="12"/>
      <c r="J21" s="8"/>
      <c r="K21" s="13"/>
    </row>
    <row r="22" spans="1:11" x14ac:dyDescent="0.25">
      <c r="A22" s="3" t="str">
        <f>"00536718101"</f>
        <v>00536718101</v>
      </c>
      <c r="B22" s="3" t="s">
        <v>44</v>
      </c>
      <c r="C22" s="3" t="s">
        <v>45</v>
      </c>
      <c r="D22" s="3">
        <v>100</v>
      </c>
      <c r="E22" s="4"/>
      <c r="F22" s="5"/>
      <c r="G22" s="3">
        <v>100</v>
      </c>
      <c r="I22" s="7"/>
      <c r="J22" s="8"/>
      <c r="K22" s="9"/>
    </row>
    <row r="23" spans="1:11" x14ac:dyDescent="0.25">
      <c r="A23" t="str">
        <f>"63323032520"</f>
        <v>63323032520</v>
      </c>
      <c r="B23" t="s">
        <v>46</v>
      </c>
      <c r="C23" t="s">
        <v>47</v>
      </c>
      <c r="D23">
        <v>200</v>
      </c>
      <c r="E23" s="10" t="s">
        <v>48</v>
      </c>
      <c r="F23" s="11">
        <v>1</v>
      </c>
      <c r="G23">
        <v>20</v>
      </c>
      <c r="I23" s="12"/>
      <c r="J23" s="8"/>
      <c r="K23" s="13"/>
    </row>
    <row r="24" spans="1:11" x14ac:dyDescent="0.25">
      <c r="A24" s="3" t="str">
        <f>"00093894301"</f>
        <v>00093894301</v>
      </c>
      <c r="B24" s="3" t="s">
        <v>49</v>
      </c>
      <c r="C24" s="3" t="s">
        <v>50</v>
      </c>
      <c r="D24" s="3">
        <v>100</v>
      </c>
      <c r="E24" s="4" t="s">
        <v>11</v>
      </c>
      <c r="F24" s="5">
        <v>400</v>
      </c>
      <c r="G24" s="3">
        <v>100</v>
      </c>
      <c r="I24" s="7"/>
      <c r="J24" s="8"/>
      <c r="K24" s="9"/>
    </row>
    <row r="25" spans="1:11" x14ac:dyDescent="0.25">
      <c r="A25" t="str">
        <f>"68084010801"</f>
        <v>68084010801</v>
      </c>
      <c r="B25" t="s">
        <v>49</v>
      </c>
      <c r="C25" t="s">
        <v>51</v>
      </c>
      <c r="D25">
        <v>100</v>
      </c>
      <c r="E25" s="10" t="s">
        <v>11</v>
      </c>
      <c r="F25" s="11">
        <v>400</v>
      </c>
      <c r="G25">
        <v>100</v>
      </c>
      <c r="I25" s="12"/>
      <c r="J25" s="8"/>
      <c r="K25" s="13"/>
    </row>
    <row r="26" spans="1:11" x14ac:dyDescent="0.25">
      <c r="A26" s="3" t="str">
        <f>"00093894305"</f>
        <v>00093894305</v>
      </c>
      <c r="B26" s="3" t="s">
        <v>49</v>
      </c>
      <c r="C26" s="3" t="s">
        <v>52</v>
      </c>
      <c r="D26" s="3">
        <v>500</v>
      </c>
      <c r="E26" s="4" t="s">
        <v>11</v>
      </c>
      <c r="F26" s="5">
        <v>400</v>
      </c>
      <c r="G26" s="3">
        <v>500</v>
      </c>
      <c r="I26" s="7"/>
      <c r="J26" s="8"/>
      <c r="K26" s="9"/>
    </row>
    <row r="27" spans="1:11" x14ac:dyDescent="0.25">
      <c r="A27" t="str">
        <f>"00591115930"</f>
        <v>00591115930</v>
      </c>
      <c r="B27" t="s">
        <v>49</v>
      </c>
      <c r="C27" t="s">
        <v>53</v>
      </c>
      <c r="D27">
        <v>30</v>
      </c>
      <c r="E27" s="10" t="s">
        <v>48</v>
      </c>
      <c r="F27" s="11">
        <v>0.05</v>
      </c>
      <c r="G27">
        <v>30</v>
      </c>
      <c r="I27" s="12"/>
      <c r="J27" s="8"/>
      <c r="K27" s="13"/>
    </row>
    <row r="28" spans="1:11" x14ac:dyDescent="0.25">
      <c r="A28" s="3" t="str">
        <f>"00093894701"</f>
        <v>00093894701</v>
      </c>
      <c r="B28" s="3" t="s">
        <v>49</v>
      </c>
      <c r="C28" s="3" t="s">
        <v>54</v>
      </c>
      <c r="D28" s="3">
        <v>100</v>
      </c>
      <c r="E28" s="4" t="s">
        <v>11</v>
      </c>
      <c r="F28" s="5">
        <v>800</v>
      </c>
      <c r="G28" s="3">
        <v>100</v>
      </c>
      <c r="I28" s="7"/>
      <c r="J28" s="8"/>
      <c r="K28" s="9"/>
    </row>
    <row r="29" spans="1:11" x14ac:dyDescent="0.25">
      <c r="A29" t="str">
        <f>"68084010901"</f>
        <v>68084010901</v>
      </c>
      <c r="B29" t="s">
        <v>49</v>
      </c>
      <c r="C29" t="s">
        <v>55</v>
      </c>
      <c r="D29">
        <v>100</v>
      </c>
      <c r="E29" s="10" t="s">
        <v>11</v>
      </c>
      <c r="F29" s="11">
        <v>800</v>
      </c>
      <c r="G29">
        <v>100</v>
      </c>
      <c r="I29" s="12"/>
      <c r="J29" s="8"/>
      <c r="K29" s="13"/>
    </row>
    <row r="30" spans="1:11" x14ac:dyDescent="0.25">
      <c r="A30" s="3" t="str">
        <f>"00093894705"</f>
        <v>00093894705</v>
      </c>
      <c r="B30" s="3" t="s">
        <v>49</v>
      </c>
      <c r="C30" s="3" t="s">
        <v>56</v>
      </c>
      <c r="D30" s="3">
        <v>500</v>
      </c>
      <c r="E30" s="4" t="s">
        <v>11</v>
      </c>
      <c r="F30" s="5">
        <v>800</v>
      </c>
      <c r="G30" s="3">
        <v>500</v>
      </c>
      <c r="I30" s="7"/>
      <c r="J30" s="8"/>
      <c r="K30" s="9"/>
    </row>
    <row r="31" spans="1:11" x14ac:dyDescent="0.25">
      <c r="A31" t="str">
        <f>"49281040010"</f>
        <v>49281040010</v>
      </c>
      <c r="B31" t="s">
        <v>57</v>
      </c>
      <c r="C31" t="s">
        <v>58</v>
      </c>
      <c r="D31">
        <v>5</v>
      </c>
      <c r="E31" s="10" t="s">
        <v>36</v>
      </c>
      <c r="F31" s="11">
        <v>0.05</v>
      </c>
      <c r="G31">
        <v>0.5</v>
      </c>
      <c r="I31" s="12"/>
      <c r="J31" s="8"/>
      <c r="K31" s="13"/>
    </row>
    <row r="32" spans="1:11" x14ac:dyDescent="0.25">
      <c r="A32" s="3" t="str">
        <f>"00781714219"</f>
        <v>00781714219</v>
      </c>
      <c r="B32" s="3" t="s">
        <v>59</v>
      </c>
      <c r="C32" s="3" t="s">
        <v>60</v>
      </c>
      <c r="D32" s="3">
        <v>45</v>
      </c>
      <c r="E32" s="4" t="s">
        <v>48</v>
      </c>
      <c r="F32" s="5">
        <v>3.0000000000000001E-3</v>
      </c>
      <c r="G32" s="3">
        <v>45</v>
      </c>
      <c r="I32" s="7"/>
      <c r="J32" s="8"/>
      <c r="K32" s="9"/>
    </row>
    <row r="33" spans="1:11" x14ac:dyDescent="0.25">
      <c r="A33" t="str">
        <f>"00173069600"</f>
        <v>00173069600</v>
      </c>
      <c r="B33" t="s">
        <v>61</v>
      </c>
      <c r="C33" t="s">
        <v>62</v>
      </c>
      <c r="D33">
        <v>60</v>
      </c>
      <c r="E33" s="10" t="s">
        <v>63</v>
      </c>
      <c r="F33" s="11" t="s">
        <v>64</v>
      </c>
      <c r="G33">
        <v>60</v>
      </c>
      <c r="I33" s="12"/>
      <c r="J33" s="8"/>
      <c r="K33" s="13"/>
    </row>
    <row r="34" spans="1:11" x14ac:dyDescent="0.25">
      <c r="A34" s="3" t="str">
        <f>"00173069700"</f>
        <v>00173069700</v>
      </c>
      <c r="B34" s="3" t="s">
        <v>61</v>
      </c>
      <c r="C34" s="3" t="s">
        <v>65</v>
      </c>
      <c r="D34" s="3">
        <v>60</v>
      </c>
      <c r="E34" s="4" t="s">
        <v>66</v>
      </c>
      <c r="F34" s="5" t="s">
        <v>64</v>
      </c>
      <c r="G34" s="3">
        <v>60</v>
      </c>
      <c r="I34" s="7"/>
      <c r="J34" s="8"/>
      <c r="K34" s="9"/>
    </row>
    <row r="35" spans="1:11" x14ac:dyDescent="0.25">
      <c r="A35" t="str">
        <f>"00456315467"</f>
        <v>00456315467</v>
      </c>
      <c r="B35" t="s">
        <v>67</v>
      </c>
      <c r="C35" t="s">
        <v>68</v>
      </c>
      <c r="D35">
        <v>0</v>
      </c>
      <c r="G35">
        <v>1</v>
      </c>
      <c r="I35" s="12"/>
      <c r="J35" s="8"/>
      <c r="K35" s="13"/>
    </row>
    <row r="36" spans="1:11" x14ac:dyDescent="0.25">
      <c r="A36" s="3" t="str">
        <f>"52054055022"</f>
        <v>52054055022</v>
      </c>
      <c r="B36" s="3" t="s">
        <v>69</v>
      </c>
      <c r="C36" s="3" t="s">
        <v>70</v>
      </c>
      <c r="D36" s="3">
        <v>2</v>
      </c>
      <c r="E36" s="4" t="s">
        <v>11</v>
      </c>
      <c r="F36" s="5">
        <v>200</v>
      </c>
      <c r="G36" s="3">
        <v>2</v>
      </c>
      <c r="I36" s="7"/>
      <c r="J36" s="8"/>
      <c r="K36" s="9"/>
    </row>
    <row r="37" spans="1:11" x14ac:dyDescent="0.25">
      <c r="A37" t="str">
        <f>"00487950101"</f>
        <v>00487950101</v>
      </c>
      <c r="B37" t="s">
        <v>71</v>
      </c>
      <c r="C37" t="s">
        <v>72</v>
      </c>
      <c r="D37">
        <v>90</v>
      </c>
      <c r="E37" s="10" t="s">
        <v>11</v>
      </c>
      <c r="F37" s="11">
        <v>8.3000000000000001E-4</v>
      </c>
      <c r="G37">
        <v>3</v>
      </c>
      <c r="I37" s="12"/>
      <c r="J37" s="8"/>
      <c r="K37" s="13"/>
    </row>
    <row r="38" spans="1:11" x14ac:dyDescent="0.25">
      <c r="A38" s="3" t="str">
        <f>"16252060102"</f>
        <v>16252060102</v>
      </c>
      <c r="B38" s="3" t="s">
        <v>73</v>
      </c>
      <c r="C38" s="3" t="s">
        <v>74</v>
      </c>
      <c r="D38" s="3">
        <v>12</v>
      </c>
      <c r="E38" s="4" t="s">
        <v>11</v>
      </c>
      <c r="F38" s="5">
        <v>70</v>
      </c>
      <c r="G38" s="3">
        <v>12</v>
      </c>
      <c r="I38" s="7"/>
      <c r="J38" s="8"/>
      <c r="K38" s="9"/>
    </row>
    <row r="39" spans="1:11" x14ac:dyDescent="0.25">
      <c r="A39" t="str">
        <f>"16252060144"</f>
        <v>16252060144</v>
      </c>
      <c r="B39" t="s">
        <v>73</v>
      </c>
      <c r="C39" t="s">
        <v>75</v>
      </c>
      <c r="D39">
        <v>4</v>
      </c>
      <c r="E39" s="10" t="s">
        <v>11</v>
      </c>
      <c r="F39" s="11">
        <v>70</v>
      </c>
      <c r="G39">
        <v>4</v>
      </c>
      <c r="I39" s="12"/>
      <c r="J39" s="8"/>
      <c r="K39" s="13"/>
    </row>
    <row r="40" spans="1:11" x14ac:dyDescent="0.25">
      <c r="A40" s="3" t="str">
        <f>"67546011114"</f>
        <v>67546011114</v>
      </c>
      <c r="B40" s="3" t="s">
        <v>76</v>
      </c>
      <c r="C40" s="3" t="s">
        <v>77</v>
      </c>
      <c r="D40" s="3">
        <v>12</v>
      </c>
      <c r="E40" s="4" t="s">
        <v>11</v>
      </c>
      <c r="F40" s="5">
        <v>500</v>
      </c>
      <c r="G40" s="3">
        <v>12</v>
      </c>
      <c r="I40" s="7"/>
      <c r="J40" s="8"/>
      <c r="K40" s="9"/>
    </row>
    <row r="41" spans="1:11" x14ac:dyDescent="0.25">
      <c r="A41" t="str">
        <f>"41167432007"</f>
        <v>41167432007</v>
      </c>
      <c r="B41" t="s">
        <v>78</v>
      </c>
      <c r="C41" t="s">
        <v>79</v>
      </c>
      <c r="D41">
        <v>15</v>
      </c>
      <c r="E41" s="10" t="s">
        <v>11</v>
      </c>
      <c r="F41" s="11">
        <v>180</v>
      </c>
      <c r="G41">
        <v>15</v>
      </c>
      <c r="I41" s="12"/>
      <c r="J41" s="8"/>
      <c r="K41" s="13"/>
    </row>
    <row r="42" spans="1:11" x14ac:dyDescent="0.25">
      <c r="A42" s="3" t="str">
        <f>"00904001224"</f>
        <v>00904001224</v>
      </c>
      <c r="B42" s="3" t="s">
        <v>80</v>
      </c>
      <c r="C42" s="3" t="s">
        <v>81</v>
      </c>
      <c r="D42" s="3">
        <v>24</v>
      </c>
      <c r="E42" s="4" t="s">
        <v>11</v>
      </c>
      <c r="F42" s="5">
        <v>4</v>
      </c>
      <c r="G42" s="3">
        <v>24</v>
      </c>
      <c r="I42" s="7"/>
      <c r="J42" s="8"/>
      <c r="K42" s="9"/>
    </row>
    <row r="43" spans="1:11" x14ac:dyDescent="0.25">
      <c r="A43" t="str">
        <f>"51079020520"</f>
        <v>51079020520</v>
      </c>
      <c r="B43" t="s">
        <v>82</v>
      </c>
      <c r="C43" t="s">
        <v>83</v>
      </c>
      <c r="D43">
        <v>100</v>
      </c>
      <c r="E43" s="10" t="s">
        <v>11</v>
      </c>
      <c r="F43" s="11">
        <v>100</v>
      </c>
      <c r="G43">
        <v>100</v>
      </c>
      <c r="I43" s="12"/>
      <c r="J43" s="8"/>
      <c r="K43" s="13"/>
    </row>
    <row r="44" spans="1:11" x14ac:dyDescent="0.25">
      <c r="A44" s="3" t="str">
        <f>"00591554310"</f>
        <v>00591554310</v>
      </c>
      <c r="B44" s="3" t="s">
        <v>82</v>
      </c>
      <c r="C44" s="3" t="s">
        <v>84</v>
      </c>
      <c r="D44" s="3">
        <v>1000</v>
      </c>
      <c r="E44" s="4" t="s">
        <v>11</v>
      </c>
      <c r="F44" s="5">
        <v>100</v>
      </c>
      <c r="G44" s="3">
        <v>1000</v>
      </c>
      <c r="I44" s="7"/>
      <c r="J44" s="8"/>
      <c r="K44" s="9"/>
    </row>
    <row r="45" spans="1:11" x14ac:dyDescent="0.25">
      <c r="A45" t="str">
        <f>"51079020620"</f>
        <v>51079020620</v>
      </c>
      <c r="B45" t="s">
        <v>82</v>
      </c>
      <c r="C45" t="s">
        <v>85</v>
      </c>
      <c r="D45">
        <v>100</v>
      </c>
      <c r="E45" s="10" t="s">
        <v>11</v>
      </c>
      <c r="F45" s="11">
        <v>300</v>
      </c>
      <c r="G45">
        <v>100</v>
      </c>
      <c r="I45" s="12"/>
      <c r="J45" s="8"/>
      <c r="K45" s="13"/>
    </row>
    <row r="46" spans="1:11" x14ac:dyDescent="0.25">
      <c r="A46" s="3" t="str">
        <f>"00591554405"</f>
        <v>00591554405</v>
      </c>
      <c r="B46" s="3" t="s">
        <v>82</v>
      </c>
      <c r="C46" s="3" t="s">
        <v>86</v>
      </c>
      <c r="D46" s="3">
        <v>500</v>
      </c>
      <c r="E46" s="4" t="s">
        <v>11</v>
      </c>
      <c r="F46" s="5">
        <v>300</v>
      </c>
      <c r="G46" s="3">
        <v>500</v>
      </c>
      <c r="I46" s="7"/>
      <c r="J46" s="8"/>
      <c r="K46" s="9"/>
    </row>
    <row r="47" spans="1:11" x14ac:dyDescent="0.25">
      <c r="A47" t="str">
        <f>"00904585961"</f>
        <v>00904585961</v>
      </c>
      <c r="B47" t="s">
        <v>87</v>
      </c>
      <c r="C47" t="s">
        <v>88</v>
      </c>
      <c r="D47">
        <v>100</v>
      </c>
      <c r="E47" s="10" t="s">
        <v>11</v>
      </c>
      <c r="F47" s="11">
        <v>0.5</v>
      </c>
      <c r="G47">
        <v>100</v>
      </c>
      <c r="I47" s="12"/>
      <c r="J47" s="8"/>
      <c r="K47" s="13"/>
    </row>
    <row r="48" spans="1:11" x14ac:dyDescent="0.25">
      <c r="A48" s="3" t="str">
        <f>"00536009185"</f>
        <v>00536009185</v>
      </c>
      <c r="B48" s="3" t="s">
        <v>89</v>
      </c>
      <c r="C48" s="3" t="s">
        <v>90</v>
      </c>
      <c r="D48" s="3">
        <v>16</v>
      </c>
      <c r="E48" s="4"/>
      <c r="F48" s="5"/>
      <c r="G48" s="3">
        <v>473</v>
      </c>
      <c r="I48" s="7"/>
      <c r="J48" s="8"/>
      <c r="K48" s="9"/>
    </row>
    <row r="49" spans="1:11" x14ac:dyDescent="0.25">
      <c r="A49" t="str">
        <f>"00832201200"</f>
        <v>00832201200</v>
      </c>
      <c r="B49" t="s">
        <v>91</v>
      </c>
      <c r="C49" t="s">
        <v>92</v>
      </c>
      <c r="D49">
        <v>100</v>
      </c>
      <c r="E49" s="10" t="s">
        <v>11</v>
      </c>
      <c r="F49" s="11">
        <v>100</v>
      </c>
      <c r="G49">
        <v>100</v>
      </c>
      <c r="I49" s="12"/>
      <c r="J49" s="8"/>
      <c r="K49" s="13"/>
    </row>
    <row r="50" spans="1:11" x14ac:dyDescent="0.25">
      <c r="A50" s="3" t="str">
        <f>"68084061101"</f>
        <v>68084061101</v>
      </c>
      <c r="B50" s="3" t="s">
        <v>91</v>
      </c>
      <c r="C50" s="3" t="s">
        <v>93</v>
      </c>
      <c r="D50" s="3">
        <v>100</v>
      </c>
      <c r="E50" s="4" t="s">
        <v>11</v>
      </c>
      <c r="F50" s="5">
        <v>100</v>
      </c>
      <c r="G50" s="3">
        <v>100</v>
      </c>
      <c r="I50" s="7"/>
      <c r="J50" s="8"/>
      <c r="K50" s="9"/>
    </row>
    <row r="51" spans="1:11" x14ac:dyDescent="0.25">
      <c r="A51" t="str">
        <f>"49411005208"</f>
        <v>49411005208</v>
      </c>
      <c r="B51" t="s">
        <v>94</v>
      </c>
      <c r="C51" t="s">
        <v>95</v>
      </c>
      <c r="D51">
        <v>8</v>
      </c>
      <c r="E51" s="10" t="s">
        <v>96</v>
      </c>
      <c r="F51" s="11">
        <v>0.25</v>
      </c>
      <c r="G51">
        <v>236.5</v>
      </c>
      <c r="I51" s="12"/>
      <c r="J51" s="8"/>
      <c r="K51" s="13"/>
    </row>
    <row r="52" spans="1:11" x14ac:dyDescent="0.25">
      <c r="A52" s="3" t="str">
        <f>"64980015101"</f>
        <v>64980015101</v>
      </c>
      <c r="B52" s="3" t="s">
        <v>97</v>
      </c>
      <c r="C52" s="3" t="s">
        <v>98</v>
      </c>
      <c r="D52" s="3">
        <v>100</v>
      </c>
      <c r="E52" s="4" t="s">
        <v>11</v>
      </c>
      <c r="F52" s="5">
        <v>5</v>
      </c>
      <c r="G52" s="3">
        <v>100</v>
      </c>
      <c r="I52" s="7"/>
      <c r="J52" s="8"/>
      <c r="K52" s="9"/>
    </row>
    <row r="53" spans="1:11" x14ac:dyDescent="0.25">
      <c r="A53" t="str">
        <f>"68382022714"</f>
        <v>68382022714</v>
      </c>
      <c r="B53" t="s">
        <v>99</v>
      </c>
      <c r="C53" t="s">
        <v>100</v>
      </c>
      <c r="D53">
        <v>60</v>
      </c>
      <c r="E53" s="10" t="s">
        <v>11</v>
      </c>
      <c r="F53" s="11">
        <v>200</v>
      </c>
      <c r="G53">
        <v>60</v>
      </c>
      <c r="I53" s="12"/>
      <c r="J53" s="8"/>
      <c r="K53" s="13"/>
    </row>
    <row r="54" spans="1:11" x14ac:dyDescent="0.25">
      <c r="A54" s="3" t="str">
        <f>"00603221221"</f>
        <v>00603221221</v>
      </c>
      <c r="B54" s="3" t="s">
        <v>101</v>
      </c>
      <c r="C54" s="3" t="s">
        <v>102</v>
      </c>
      <c r="D54" s="3">
        <v>100</v>
      </c>
      <c r="E54" s="4" t="s">
        <v>11</v>
      </c>
      <c r="F54" s="5">
        <v>10</v>
      </c>
      <c r="G54" s="3">
        <v>100</v>
      </c>
      <c r="I54" s="7"/>
      <c r="J54" s="8"/>
      <c r="K54" s="9"/>
    </row>
    <row r="55" spans="1:11" x14ac:dyDescent="0.25">
      <c r="A55" t="str">
        <f>"51079013120"</f>
        <v>51079013120</v>
      </c>
      <c r="B55" t="s">
        <v>101</v>
      </c>
      <c r="C55" t="s">
        <v>103</v>
      </c>
      <c r="D55">
        <v>100</v>
      </c>
      <c r="E55" s="10" t="s">
        <v>11</v>
      </c>
      <c r="F55" s="11">
        <v>10</v>
      </c>
      <c r="G55">
        <v>100</v>
      </c>
      <c r="I55" s="12"/>
      <c r="J55" s="8"/>
      <c r="K55" s="13"/>
    </row>
    <row r="56" spans="1:11" x14ac:dyDescent="0.25">
      <c r="A56" s="3" t="str">
        <f>"00781149001"</f>
        <v>00781149001</v>
      </c>
      <c r="B56" s="3" t="s">
        <v>101</v>
      </c>
      <c r="C56" s="3" t="s">
        <v>104</v>
      </c>
      <c r="D56" s="3">
        <v>100</v>
      </c>
      <c r="E56" s="4" t="s">
        <v>11</v>
      </c>
      <c r="F56" s="5">
        <v>100</v>
      </c>
      <c r="G56" s="3">
        <v>100</v>
      </c>
      <c r="I56" s="7"/>
      <c r="J56" s="8"/>
      <c r="K56" s="9"/>
    </row>
    <row r="57" spans="1:11" x14ac:dyDescent="0.25">
      <c r="A57" t="str">
        <f>"51079056320"</f>
        <v>51079056320</v>
      </c>
      <c r="B57" t="s">
        <v>101</v>
      </c>
      <c r="C57" t="s">
        <v>105</v>
      </c>
      <c r="D57">
        <v>100</v>
      </c>
      <c r="E57" s="10" t="s">
        <v>11</v>
      </c>
      <c r="F57" s="11">
        <v>100</v>
      </c>
      <c r="G57">
        <v>100</v>
      </c>
      <c r="I57" s="12"/>
      <c r="J57" s="8"/>
      <c r="K57" s="13"/>
    </row>
    <row r="58" spans="1:11" x14ac:dyDescent="0.25">
      <c r="A58" s="3" t="str">
        <f>"00781149101"</f>
        <v>00781149101</v>
      </c>
      <c r="B58" s="3" t="s">
        <v>101</v>
      </c>
      <c r="C58" s="3" t="s">
        <v>106</v>
      </c>
      <c r="D58" s="3">
        <v>100</v>
      </c>
      <c r="E58" s="4" t="s">
        <v>11</v>
      </c>
      <c r="F58" s="5">
        <v>150</v>
      </c>
      <c r="G58" s="3">
        <v>100</v>
      </c>
      <c r="I58" s="7"/>
      <c r="J58" s="8"/>
      <c r="K58" s="9"/>
    </row>
    <row r="59" spans="1:11" x14ac:dyDescent="0.25">
      <c r="A59" t="str">
        <f>"00781148701"</f>
        <v>00781148701</v>
      </c>
      <c r="B59" t="s">
        <v>101</v>
      </c>
      <c r="C59" t="s">
        <v>107</v>
      </c>
      <c r="D59">
        <v>100</v>
      </c>
      <c r="E59" s="10" t="s">
        <v>11</v>
      </c>
      <c r="F59" s="11">
        <v>25</v>
      </c>
      <c r="G59">
        <v>100</v>
      </c>
      <c r="I59" s="12"/>
      <c r="J59" s="8"/>
      <c r="K59" s="13"/>
    </row>
    <row r="60" spans="1:11" x14ac:dyDescent="0.25">
      <c r="A60" s="3" t="str">
        <f>"51079010720"</f>
        <v>51079010720</v>
      </c>
      <c r="B60" s="3" t="s">
        <v>101</v>
      </c>
      <c r="C60" s="3" t="s">
        <v>108</v>
      </c>
      <c r="D60" s="3">
        <v>100</v>
      </c>
      <c r="E60" s="4" t="s">
        <v>11</v>
      </c>
      <c r="F60" s="5">
        <v>25</v>
      </c>
      <c r="G60" s="3">
        <v>100</v>
      </c>
      <c r="I60" s="7"/>
      <c r="J60" s="8"/>
      <c r="K60" s="9"/>
    </row>
    <row r="61" spans="1:11" x14ac:dyDescent="0.25">
      <c r="A61" t="str">
        <f>"00781148710"</f>
        <v>00781148710</v>
      </c>
      <c r="B61" t="s">
        <v>101</v>
      </c>
      <c r="C61" t="s">
        <v>109</v>
      </c>
      <c r="D61">
        <v>1000</v>
      </c>
      <c r="E61" s="10" t="s">
        <v>11</v>
      </c>
      <c r="F61" s="11">
        <v>25</v>
      </c>
      <c r="G61">
        <v>1000</v>
      </c>
      <c r="I61" s="12"/>
      <c r="J61" s="8"/>
      <c r="K61" s="13"/>
    </row>
    <row r="62" spans="1:11" x14ac:dyDescent="0.25">
      <c r="A62" s="3" t="str">
        <f>"00781148801"</f>
        <v>00781148801</v>
      </c>
      <c r="B62" s="3" t="s">
        <v>101</v>
      </c>
      <c r="C62" s="3" t="s">
        <v>110</v>
      </c>
      <c r="D62" s="3">
        <v>100</v>
      </c>
      <c r="E62" s="4" t="s">
        <v>11</v>
      </c>
      <c r="F62" s="5">
        <v>50</v>
      </c>
      <c r="G62" s="3">
        <v>100</v>
      </c>
      <c r="I62" s="7"/>
      <c r="J62" s="8"/>
      <c r="K62" s="9"/>
    </row>
    <row r="63" spans="1:11" x14ac:dyDescent="0.25">
      <c r="A63" t="str">
        <f>"51079013320"</f>
        <v>51079013320</v>
      </c>
      <c r="B63" t="s">
        <v>101</v>
      </c>
      <c r="C63" t="s">
        <v>111</v>
      </c>
      <c r="D63">
        <v>100</v>
      </c>
      <c r="E63" s="10" t="s">
        <v>11</v>
      </c>
      <c r="F63" s="11">
        <v>50</v>
      </c>
      <c r="G63">
        <v>100</v>
      </c>
      <c r="I63" s="12"/>
      <c r="J63" s="8"/>
      <c r="K63" s="13"/>
    </row>
    <row r="64" spans="1:11" x14ac:dyDescent="0.25">
      <c r="A64" s="3" t="str">
        <f>"00781148810"</f>
        <v>00781148810</v>
      </c>
      <c r="B64" s="3" t="s">
        <v>101</v>
      </c>
      <c r="C64" s="3" t="s">
        <v>112</v>
      </c>
      <c r="D64" s="3">
        <v>1000</v>
      </c>
      <c r="E64" s="4" t="s">
        <v>11</v>
      </c>
      <c r="F64" s="5">
        <v>50</v>
      </c>
      <c r="G64" s="3">
        <v>1000</v>
      </c>
      <c r="I64" s="7"/>
      <c r="J64" s="8"/>
      <c r="K64" s="9"/>
    </row>
    <row r="65" spans="1:11" x14ac:dyDescent="0.25">
      <c r="A65" t="str">
        <f>"00781148901"</f>
        <v>00781148901</v>
      </c>
      <c r="B65" t="s">
        <v>101</v>
      </c>
      <c r="C65" t="s">
        <v>113</v>
      </c>
      <c r="D65">
        <v>100</v>
      </c>
      <c r="E65" s="10" t="s">
        <v>11</v>
      </c>
      <c r="F65" s="11">
        <v>75</v>
      </c>
      <c r="G65">
        <v>100</v>
      </c>
      <c r="I65" s="12"/>
      <c r="J65" s="8"/>
      <c r="K65" s="13"/>
    </row>
    <row r="66" spans="1:11" x14ac:dyDescent="0.25">
      <c r="A66" s="3" t="str">
        <f>"16729017401"</f>
        <v>16729017401</v>
      </c>
      <c r="B66" s="3" t="s">
        <v>101</v>
      </c>
      <c r="C66" s="3" t="s">
        <v>113</v>
      </c>
      <c r="D66" s="3">
        <v>100</v>
      </c>
      <c r="E66" s="4" t="s">
        <v>11</v>
      </c>
      <c r="F66" s="5">
        <v>75</v>
      </c>
      <c r="G66" s="3">
        <v>100</v>
      </c>
      <c r="I66" s="7"/>
      <c r="J66" s="8"/>
      <c r="K66" s="9"/>
    </row>
    <row r="67" spans="1:11" x14ac:dyDescent="0.25">
      <c r="A67" t="str">
        <f>"51079014720"</f>
        <v>51079014720</v>
      </c>
      <c r="B67" t="s">
        <v>101</v>
      </c>
      <c r="C67" t="s">
        <v>114</v>
      </c>
      <c r="D67">
        <v>100</v>
      </c>
      <c r="E67" s="10" t="s">
        <v>11</v>
      </c>
      <c r="F67" s="11">
        <v>75</v>
      </c>
      <c r="G67">
        <v>100</v>
      </c>
      <c r="I67" s="12"/>
      <c r="J67" s="8"/>
      <c r="K67" s="13"/>
    </row>
    <row r="68" spans="1:11" x14ac:dyDescent="0.25">
      <c r="A68" s="3" t="str">
        <f>"00904637161"</f>
        <v>00904637161</v>
      </c>
      <c r="B68" s="3" t="s">
        <v>115</v>
      </c>
      <c r="C68" s="3" t="s">
        <v>116</v>
      </c>
      <c r="D68" s="3">
        <v>100</v>
      </c>
      <c r="E68" s="4" t="s">
        <v>11</v>
      </c>
      <c r="F68" s="5">
        <v>10</v>
      </c>
      <c r="G68" s="3">
        <v>100</v>
      </c>
      <c r="I68" s="7"/>
      <c r="J68" s="8"/>
      <c r="K68" s="9"/>
    </row>
    <row r="69" spans="1:11" x14ac:dyDescent="0.25">
      <c r="A69" t="str">
        <f>"68084026001"</f>
        <v>68084026001</v>
      </c>
      <c r="B69" t="s">
        <v>115</v>
      </c>
      <c r="C69" t="s">
        <v>117</v>
      </c>
      <c r="D69">
        <v>100</v>
      </c>
      <c r="E69" s="10" t="s">
        <v>11</v>
      </c>
      <c r="F69" s="11">
        <v>10</v>
      </c>
      <c r="G69">
        <v>100</v>
      </c>
      <c r="I69" s="12"/>
      <c r="J69" s="8"/>
      <c r="K69" s="13"/>
    </row>
    <row r="70" spans="1:11" x14ac:dyDescent="0.25">
      <c r="A70" s="3" t="str">
        <f>"00603211033"</f>
        <v>00603211033</v>
      </c>
      <c r="B70" s="3" t="s">
        <v>115</v>
      </c>
      <c r="C70" s="3" t="s">
        <v>118</v>
      </c>
      <c r="D70" s="3">
        <v>2400</v>
      </c>
      <c r="E70" s="4" t="s">
        <v>11</v>
      </c>
      <c r="F70" s="5">
        <v>10</v>
      </c>
      <c r="G70" s="3">
        <v>2400</v>
      </c>
      <c r="I70" s="7"/>
      <c r="J70" s="8"/>
      <c r="K70" s="9"/>
    </row>
    <row r="71" spans="1:11" x14ac:dyDescent="0.25">
      <c r="A71" t="str">
        <f>"00603211002"</f>
        <v>00603211002</v>
      </c>
      <c r="B71" t="s">
        <v>115</v>
      </c>
      <c r="C71" t="s">
        <v>119</v>
      </c>
      <c r="D71">
        <v>90</v>
      </c>
      <c r="E71" s="10" t="s">
        <v>11</v>
      </c>
      <c r="F71" s="11">
        <v>10</v>
      </c>
      <c r="G71">
        <v>90</v>
      </c>
      <c r="I71" s="12"/>
      <c r="J71" s="8"/>
      <c r="K71" s="13"/>
    </row>
    <row r="72" spans="1:11" x14ac:dyDescent="0.25">
      <c r="A72" s="3" t="str">
        <f>"00093008398"</f>
        <v>00093008398</v>
      </c>
      <c r="B72" s="3" t="s">
        <v>115</v>
      </c>
      <c r="C72" s="3" t="s">
        <v>120</v>
      </c>
      <c r="D72" s="3">
        <v>90</v>
      </c>
      <c r="E72" s="4" t="s">
        <v>11</v>
      </c>
      <c r="F72" s="5">
        <v>2.5</v>
      </c>
      <c r="G72" s="3">
        <v>90</v>
      </c>
      <c r="I72" s="7"/>
      <c r="J72" s="8"/>
      <c r="K72" s="9"/>
    </row>
    <row r="73" spans="1:11" x14ac:dyDescent="0.25">
      <c r="A73" t="str">
        <f>"51079045120"</f>
        <v>51079045120</v>
      </c>
      <c r="B73" t="s">
        <v>115</v>
      </c>
      <c r="C73" t="s">
        <v>121</v>
      </c>
      <c r="D73">
        <v>100</v>
      </c>
      <c r="E73" s="10" t="s">
        <v>11</v>
      </c>
      <c r="F73" s="11">
        <v>5</v>
      </c>
      <c r="G73">
        <v>100</v>
      </c>
      <c r="I73" s="12"/>
      <c r="J73" s="8"/>
      <c r="K73" s="13"/>
    </row>
    <row r="74" spans="1:11" x14ac:dyDescent="0.25">
      <c r="A74" s="3" t="str">
        <f>"00603210932"</f>
        <v>00603210932</v>
      </c>
      <c r="B74" s="3" t="s">
        <v>115</v>
      </c>
      <c r="C74" s="3" t="s">
        <v>122</v>
      </c>
      <c r="D74" s="3">
        <v>1000</v>
      </c>
      <c r="E74" s="4" t="s">
        <v>11</v>
      </c>
      <c r="F74" s="5">
        <v>5</v>
      </c>
      <c r="G74" s="3">
        <v>1000</v>
      </c>
      <c r="I74" s="7"/>
      <c r="J74" s="8"/>
      <c r="K74" s="9"/>
    </row>
    <row r="75" spans="1:11" x14ac:dyDescent="0.25">
      <c r="A75" t="str">
        <f>"00093716798"</f>
        <v>00093716798</v>
      </c>
      <c r="B75" t="s">
        <v>115</v>
      </c>
      <c r="C75" t="s">
        <v>123</v>
      </c>
      <c r="D75">
        <v>90</v>
      </c>
      <c r="E75" s="10" t="s">
        <v>11</v>
      </c>
      <c r="F75" s="11">
        <v>5</v>
      </c>
      <c r="G75">
        <v>90</v>
      </c>
      <c r="I75" s="12"/>
      <c r="J75" s="8"/>
      <c r="K75" s="13"/>
    </row>
    <row r="76" spans="1:11" x14ac:dyDescent="0.25">
      <c r="A76" s="3" t="str">
        <f>"45802049383"</f>
        <v>45802049383</v>
      </c>
      <c r="B76" s="3" t="s">
        <v>124</v>
      </c>
      <c r="C76" s="3" t="s">
        <v>125</v>
      </c>
      <c r="D76" s="3">
        <v>280</v>
      </c>
      <c r="E76" s="4" t="s">
        <v>48</v>
      </c>
      <c r="F76" s="5">
        <v>0.12</v>
      </c>
      <c r="G76" s="3">
        <v>140</v>
      </c>
      <c r="I76" s="7"/>
      <c r="J76" s="8"/>
      <c r="K76" s="9"/>
    </row>
    <row r="77" spans="1:11" x14ac:dyDescent="0.25">
      <c r="A77" t="str">
        <f>"00904598426"</f>
        <v>00904598426</v>
      </c>
      <c r="B77" t="s">
        <v>124</v>
      </c>
      <c r="C77" t="s">
        <v>126</v>
      </c>
      <c r="D77">
        <v>225</v>
      </c>
      <c r="E77" s="10" t="s">
        <v>48</v>
      </c>
      <c r="F77" s="11">
        <v>0.12</v>
      </c>
      <c r="G77">
        <v>226</v>
      </c>
      <c r="I77" s="12"/>
      <c r="J77" s="8"/>
      <c r="K77" s="13"/>
    </row>
    <row r="78" spans="1:11" x14ac:dyDescent="0.25">
      <c r="A78" s="3" t="str">
        <f>"00781261305"</f>
        <v>00781261305</v>
      </c>
      <c r="B78" s="3" t="s">
        <v>127</v>
      </c>
      <c r="C78" s="3" t="s">
        <v>128</v>
      </c>
      <c r="D78" s="3">
        <v>500</v>
      </c>
      <c r="E78" s="4" t="s">
        <v>11</v>
      </c>
      <c r="F78" s="5">
        <v>500</v>
      </c>
      <c r="G78" s="3">
        <v>500</v>
      </c>
      <c r="I78" s="7"/>
      <c r="J78" s="8"/>
      <c r="K78" s="9"/>
    </row>
    <row r="79" spans="1:11" x14ac:dyDescent="0.25">
      <c r="A79" t="str">
        <f>"00093226401"</f>
        <v>00093226401</v>
      </c>
      <c r="B79" t="s">
        <v>127</v>
      </c>
      <c r="C79" t="s">
        <v>129</v>
      </c>
      <c r="D79">
        <v>100</v>
      </c>
      <c r="E79" s="10" t="s">
        <v>11</v>
      </c>
      <c r="F79" s="11">
        <v>875</v>
      </c>
      <c r="G79">
        <v>100</v>
      </c>
      <c r="I79" s="12"/>
      <c r="J79" s="8"/>
      <c r="K79" s="13"/>
    </row>
    <row r="80" spans="1:11" x14ac:dyDescent="0.25">
      <c r="A80" s="3" t="str">
        <f>"65862050220"</f>
        <v>65862050220</v>
      </c>
      <c r="B80" s="3" t="s">
        <v>130</v>
      </c>
      <c r="C80" s="3" t="s">
        <v>131</v>
      </c>
      <c r="D80" s="3">
        <v>20</v>
      </c>
      <c r="E80" s="4" t="s">
        <v>132</v>
      </c>
      <c r="F80" s="5" t="s">
        <v>133</v>
      </c>
      <c r="G80" s="3">
        <v>20</v>
      </c>
      <c r="I80" s="7"/>
      <c r="J80" s="8"/>
      <c r="K80" s="9"/>
    </row>
    <row r="81" spans="1:11" x14ac:dyDescent="0.25">
      <c r="A81" t="str">
        <f>"66685100101"</f>
        <v>66685100101</v>
      </c>
      <c r="B81" t="s">
        <v>130</v>
      </c>
      <c r="C81" t="s">
        <v>134</v>
      </c>
      <c r="D81">
        <v>100</v>
      </c>
      <c r="E81" s="10" t="s">
        <v>132</v>
      </c>
      <c r="F81" s="11" t="s">
        <v>135</v>
      </c>
      <c r="G81">
        <v>100</v>
      </c>
      <c r="I81" s="12"/>
      <c r="J81" s="8"/>
      <c r="K81" s="13"/>
    </row>
    <row r="82" spans="1:11" x14ac:dyDescent="0.25">
      <c r="A82" s="3" t="str">
        <f>"00781233501"</f>
        <v>00781233501</v>
      </c>
      <c r="B82" s="3" t="s">
        <v>136</v>
      </c>
      <c r="C82" s="3" t="s">
        <v>137</v>
      </c>
      <c r="D82" s="3">
        <v>100</v>
      </c>
      <c r="E82" s="4" t="s">
        <v>33</v>
      </c>
      <c r="F82" s="5">
        <v>10</v>
      </c>
      <c r="G82" s="3">
        <v>100</v>
      </c>
      <c r="I82" s="7"/>
      <c r="J82" s="8"/>
      <c r="K82" s="9"/>
    </row>
    <row r="83" spans="1:11" x14ac:dyDescent="0.25">
      <c r="A83" t="str">
        <f>"00115132901"</f>
        <v>00115132901</v>
      </c>
      <c r="B83" t="s">
        <v>136</v>
      </c>
      <c r="C83" t="s">
        <v>138</v>
      </c>
      <c r="D83">
        <v>100</v>
      </c>
      <c r="E83" s="10" t="s">
        <v>33</v>
      </c>
      <c r="F83" s="11">
        <v>10</v>
      </c>
      <c r="G83">
        <v>100</v>
      </c>
      <c r="I83" s="12"/>
      <c r="J83" s="8"/>
      <c r="K83" s="13"/>
    </row>
    <row r="84" spans="1:11" x14ac:dyDescent="0.25">
      <c r="A84" s="3" t="str">
        <f>"00781235201"</f>
        <v>00781235201</v>
      </c>
      <c r="B84" s="3" t="s">
        <v>136</v>
      </c>
      <c r="C84" s="3" t="s">
        <v>139</v>
      </c>
      <c r="D84" s="3">
        <v>100</v>
      </c>
      <c r="E84" s="4" t="s">
        <v>33</v>
      </c>
      <c r="F84" s="5">
        <v>20</v>
      </c>
      <c r="G84" s="3">
        <v>100</v>
      </c>
      <c r="I84" s="7"/>
      <c r="J84" s="8"/>
      <c r="K84" s="9"/>
    </row>
    <row r="85" spans="1:11" x14ac:dyDescent="0.25">
      <c r="A85" t="str">
        <f>"00185011101"</f>
        <v>00185011101</v>
      </c>
      <c r="B85" t="s">
        <v>136</v>
      </c>
      <c r="C85" t="s">
        <v>140</v>
      </c>
      <c r="D85">
        <v>100</v>
      </c>
      <c r="E85" s="10" t="s">
        <v>11</v>
      </c>
      <c r="F85" s="11">
        <v>10</v>
      </c>
      <c r="G85">
        <v>100</v>
      </c>
      <c r="I85" s="12"/>
      <c r="J85" s="8"/>
      <c r="K85" s="13"/>
    </row>
    <row r="86" spans="1:11" x14ac:dyDescent="0.25">
      <c r="A86" s="3" t="str">
        <f>"00555097202"</f>
        <v>00555097202</v>
      </c>
      <c r="B86" s="3" t="s">
        <v>136</v>
      </c>
      <c r="C86" s="3" t="s">
        <v>140</v>
      </c>
      <c r="D86" s="3">
        <v>100</v>
      </c>
      <c r="E86" s="4" t="s">
        <v>141</v>
      </c>
      <c r="F86" s="5">
        <v>10</v>
      </c>
      <c r="G86" s="3">
        <v>100</v>
      </c>
      <c r="I86" s="7"/>
      <c r="J86" s="8"/>
      <c r="K86" s="9"/>
    </row>
    <row r="87" spans="1:11" x14ac:dyDescent="0.25">
      <c r="A87" t="str">
        <f>"00555097302"</f>
        <v>00555097302</v>
      </c>
      <c r="B87" t="s">
        <v>136</v>
      </c>
      <c r="C87" t="s">
        <v>142</v>
      </c>
      <c r="D87">
        <v>100</v>
      </c>
      <c r="E87" s="10" t="s">
        <v>141</v>
      </c>
      <c r="F87" s="11">
        <v>20</v>
      </c>
      <c r="G87">
        <v>100</v>
      </c>
      <c r="I87" s="12"/>
      <c r="J87" s="8"/>
      <c r="K87" s="13"/>
    </row>
    <row r="88" spans="1:11" x14ac:dyDescent="0.25">
      <c r="A88" s="3" t="str">
        <f>"00228306111"</f>
        <v>00228306111</v>
      </c>
      <c r="B88" s="3" t="s">
        <v>136</v>
      </c>
      <c r="C88" s="3" t="s">
        <v>143</v>
      </c>
      <c r="D88" s="3">
        <v>100</v>
      </c>
      <c r="E88" s="4" t="s">
        <v>33</v>
      </c>
      <c r="F88" s="5">
        <v>30</v>
      </c>
      <c r="G88" s="3">
        <v>100</v>
      </c>
      <c r="I88" s="7"/>
      <c r="J88" s="8"/>
      <c r="K88" s="9"/>
    </row>
    <row r="89" spans="1:11" x14ac:dyDescent="0.25">
      <c r="A89" t="str">
        <f>"55150011310"</f>
        <v>55150011310</v>
      </c>
      <c r="B89" t="s">
        <v>144</v>
      </c>
      <c r="C89" t="s">
        <v>145</v>
      </c>
      <c r="D89">
        <v>10</v>
      </c>
      <c r="E89" s="10" t="s">
        <v>48</v>
      </c>
      <c r="F89" s="11">
        <v>1</v>
      </c>
      <c r="G89">
        <v>1</v>
      </c>
      <c r="I89" s="12"/>
      <c r="J89" s="8"/>
      <c r="K89" s="13"/>
    </row>
    <row r="90" spans="1:11" x14ac:dyDescent="0.25">
      <c r="A90" s="3" t="str">
        <f>"63323039923"</f>
        <v>63323039923</v>
      </c>
      <c r="B90" s="3" t="s">
        <v>144</v>
      </c>
      <c r="C90" s="3" t="s">
        <v>146</v>
      </c>
      <c r="D90" s="3">
        <v>10</v>
      </c>
      <c r="E90" s="4" t="s">
        <v>48</v>
      </c>
      <c r="F90" s="5">
        <v>2</v>
      </c>
      <c r="G90" s="3">
        <v>1</v>
      </c>
      <c r="I90" s="7"/>
      <c r="J90" s="8"/>
      <c r="K90" s="9"/>
    </row>
    <row r="91" spans="1:11" x14ac:dyDescent="0.25">
      <c r="A91" t="str">
        <f>"67253018010"</f>
        <v>67253018010</v>
      </c>
      <c r="B91" t="s">
        <v>147</v>
      </c>
      <c r="C91" t="s">
        <v>148</v>
      </c>
      <c r="D91">
        <v>100</v>
      </c>
      <c r="E91" s="10" t="s">
        <v>11</v>
      </c>
      <c r="F91" s="11">
        <v>250</v>
      </c>
      <c r="G91">
        <v>100</v>
      </c>
      <c r="I91" s="12"/>
      <c r="J91" s="8"/>
      <c r="K91" s="13"/>
    </row>
    <row r="92" spans="1:11" x14ac:dyDescent="0.25">
      <c r="A92" s="3" t="str">
        <f>"55150011620"</f>
        <v>55150011620</v>
      </c>
      <c r="B92" s="3" t="s">
        <v>149</v>
      </c>
      <c r="C92" s="3" t="s">
        <v>150</v>
      </c>
      <c r="D92" s="3">
        <v>10</v>
      </c>
      <c r="E92" s="4" t="s">
        <v>48</v>
      </c>
      <c r="F92" s="5">
        <v>1.5</v>
      </c>
      <c r="G92" s="3">
        <v>1</v>
      </c>
      <c r="I92" s="7"/>
      <c r="J92" s="8"/>
      <c r="K92" s="9"/>
    </row>
    <row r="93" spans="1:11" x14ac:dyDescent="0.25">
      <c r="A93" t="str">
        <f>"25021014220"</f>
        <v>25021014220</v>
      </c>
      <c r="B93" t="s">
        <v>149</v>
      </c>
      <c r="C93" t="s">
        <v>150</v>
      </c>
      <c r="D93">
        <v>10</v>
      </c>
      <c r="E93" s="10" t="s">
        <v>48</v>
      </c>
      <c r="F93" s="11">
        <v>1.5</v>
      </c>
      <c r="G93">
        <v>1</v>
      </c>
      <c r="I93" s="12"/>
      <c r="J93" s="8"/>
      <c r="K93" s="13"/>
    </row>
    <row r="94" spans="1:11" x14ac:dyDescent="0.25">
      <c r="A94" s="3" t="str">
        <f>"44567021110"</f>
        <v>44567021110</v>
      </c>
      <c r="B94" s="3" t="s">
        <v>149</v>
      </c>
      <c r="C94" s="3" t="s">
        <v>151</v>
      </c>
      <c r="D94" s="3">
        <v>10</v>
      </c>
      <c r="E94" s="4" t="s">
        <v>48</v>
      </c>
      <c r="F94" s="5">
        <v>3</v>
      </c>
      <c r="G94" s="3">
        <v>1</v>
      </c>
      <c r="I94" s="7"/>
      <c r="J94" s="8"/>
      <c r="K94" s="9"/>
    </row>
    <row r="95" spans="1:11" x14ac:dyDescent="0.25">
      <c r="A95" t="str">
        <f>"25021014330"</f>
        <v>25021014330</v>
      </c>
      <c r="B95" t="s">
        <v>149</v>
      </c>
      <c r="C95" t="s">
        <v>151</v>
      </c>
      <c r="D95">
        <v>10</v>
      </c>
      <c r="E95" s="10" t="s">
        <v>48</v>
      </c>
      <c r="F95" s="11">
        <v>3</v>
      </c>
      <c r="G95">
        <v>1</v>
      </c>
      <c r="I95" s="12"/>
      <c r="J95" s="8"/>
      <c r="K95" s="13"/>
    </row>
    <row r="96" spans="1:11" x14ac:dyDescent="0.25">
      <c r="A96" s="3" t="str">
        <f>"00225029515"</f>
        <v>00225029515</v>
      </c>
      <c r="B96" s="3" t="s">
        <v>152</v>
      </c>
      <c r="C96" s="3" t="s">
        <v>153</v>
      </c>
      <c r="D96" s="3">
        <v>100</v>
      </c>
      <c r="E96" s="4" t="s">
        <v>11</v>
      </c>
      <c r="F96" s="5">
        <v>0.125</v>
      </c>
      <c r="G96" s="3">
        <v>100</v>
      </c>
      <c r="I96" s="7"/>
      <c r="J96" s="8"/>
      <c r="K96" s="9"/>
    </row>
    <row r="97" spans="1:11" x14ac:dyDescent="0.25">
      <c r="A97" t="str">
        <f>"68382020906"</f>
        <v>68382020906</v>
      </c>
      <c r="B97" t="s">
        <v>154</v>
      </c>
      <c r="C97" t="s">
        <v>155</v>
      </c>
      <c r="D97">
        <v>30</v>
      </c>
      <c r="E97" s="10" t="s">
        <v>11</v>
      </c>
      <c r="F97" s="11">
        <v>1</v>
      </c>
      <c r="G97">
        <v>30</v>
      </c>
      <c r="I97" s="12"/>
      <c r="J97" s="8"/>
      <c r="K97" s="13"/>
    </row>
    <row r="98" spans="1:11" x14ac:dyDescent="0.25">
      <c r="A98" s="3" t="str">
        <f>"24357070130"</f>
        <v>24357070130</v>
      </c>
      <c r="B98" s="3" t="s">
        <v>156</v>
      </c>
      <c r="C98" s="3" t="s">
        <v>157</v>
      </c>
      <c r="D98" s="3">
        <v>30</v>
      </c>
      <c r="E98" s="4" t="s">
        <v>48</v>
      </c>
      <c r="F98" s="5">
        <v>0.04</v>
      </c>
      <c r="G98" s="3">
        <v>30</v>
      </c>
      <c r="I98" s="7"/>
      <c r="J98" s="8"/>
      <c r="K98" s="9"/>
    </row>
    <row r="99" spans="1:11" x14ac:dyDescent="0.25">
      <c r="A99" t="str">
        <f>"47682080213"</f>
        <v>47682080213</v>
      </c>
      <c r="B99" t="s">
        <v>158</v>
      </c>
      <c r="C99" t="s">
        <v>159</v>
      </c>
      <c r="D99">
        <v>500</v>
      </c>
      <c r="E99" s="10" t="s">
        <v>11</v>
      </c>
      <c r="F99" s="11">
        <v>420</v>
      </c>
      <c r="G99">
        <v>2</v>
      </c>
      <c r="I99" s="12"/>
      <c r="J99" s="8"/>
      <c r="K99" s="13"/>
    </row>
    <row r="100" spans="1:11" x14ac:dyDescent="0.25">
      <c r="A100" s="3" t="str">
        <f>"00904772512"</f>
        <v>00904772512</v>
      </c>
      <c r="B100" s="3" t="s">
        <v>160</v>
      </c>
      <c r="C100" s="3" t="s">
        <v>161</v>
      </c>
      <c r="D100" s="3">
        <v>12</v>
      </c>
      <c r="E100" s="4" t="s">
        <v>11</v>
      </c>
      <c r="F100" s="5">
        <v>2</v>
      </c>
      <c r="G100" s="3">
        <v>12</v>
      </c>
      <c r="I100" s="7"/>
      <c r="J100" s="8"/>
      <c r="K100" s="9"/>
    </row>
    <row r="101" spans="1:11" x14ac:dyDescent="0.25">
      <c r="A101" t="str">
        <f>"00713050301"</f>
        <v>00713050301</v>
      </c>
      <c r="B101" t="s">
        <v>162</v>
      </c>
      <c r="C101" t="s">
        <v>163</v>
      </c>
      <c r="D101">
        <v>100</v>
      </c>
      <c r="E101" s="10" t="s">
        <v>11</v>
      </c>
      <c r="F101" s="11">
        <v>25</v>
      </c>
      <c r="G101">
        <v>100</v>
      </c>
      <c r="I101" s="12"/>
      <c r="J101" s="8"/>
      <c r="K101" s="13"/>
    </row>
    <row r="102" spans="1:11" x14ac:dyDescent="0.25">
      <c r="A102" s="3" t="str">
        <f>"72140003263"</f>
        <v>72140003263</v>
      </c>
      <c r="B102" s="3" t="s">
        <v>164</v>
      </c>
      <c r="C102" s="3" t="s">
        <v>165</v>
      </c>
      <c r="D102" s="3">
        <v>3.5</v>
      </c>
      <c r="E102" s="4"/>
      <c r="F102" s="5"/>
      <c r="G102" s="3">
        <v>99</v>
      </c>
      <c r="I102" s="7"/>
      <c r="J102" s="8"/>
      <c r="K102" s="9"/>
    </row>
    <row r="103" spans="1:11" x14ac:dyDescent="0.25">
      <c r="A103" t="str">
        <f>"13811068110"</f>
        <v>13811068110</v>
      </c>
      <c r="B103" t="s">
        <v>166</v>
      </c>
      <c r="C103" t="s">
        <v>167</v>
      </c>
      <c r="D103">
        <v>100</v>
      </c>
      <c r="E103" s="10" t="s">
        <v>11</v>
      </c>
      <c r="F103" s="11">
        <v>10</v>
      </c>
      <c r="G103">
        <v>100</v>
      </c>
      <c r="I103" s="12"/>
      <c r="J103" s="8"/>
      <c r="K103" s="13"/>
    </row>
    <row r="104" spans="1:11" x14ac:dyDescent="0.25">
      <c r="A104" s="3" t="str">
        <f>"54838057059"</f>
        <v>54838057059</v>
      </c>
      <c r="B104" s="3" t="s">
        <v>166</v>
      </c>
      <c r="C104" s="3" t="s">
        <v>168</v>
      </c>
      <c r="D104" s="3">
        <v>150</v>
      </c>
      <c r="E104" s="4" t="s">
        <v>20</v>
      </c>
      <c r="F104" s="5">
        <v>1</v>
      </c>
      <c r="G104" s="3">
        <v>150</v>
      </c>
      <c r="I104" s="7"/>
      <c r="J104" s="8"/>
      <c r="K104" s="9"/>
    </row>
    <row r="105" spans="1:11" x14ac:dyDescent="0.25">
      <c r="A105" t="str">
        <f>"13811067930"</f>
        <v>13811067930</v>
      </c>
      <c r="B105" t="s">
        <v>166</v>
      </c>
      <c r="C105" t="s">
        <v>169</v>
      </c>
      <c r="D105">
        <v>30</v>
      </c>
      <c r="E105" s="10" t="s">
        <v>11</v>
      </c>
      <c r="F105" s="11">
        <v>2</v>
      </c>
      <c r="G105">
        <v>30</v>
      </c>
      <c r="I105" s="12"/>
      <c r="J105" s="8"/>
      <c r="K105" s="13"/>
    </row>
    <row r="106" spans="1:11" x14ac:dyDescent="0.25">
      <c r="A106" s="3" t="str">
        <f>"13811068310"</f>
        <v>13811068310</v>
      </c>
      <c r="B106" s="3" t="s">
        <v>166</v>
      </c>
      <c r="C106" s="3" t="s">
        <v>170</v>
      </c>
      <c r="D106" s="3">
        <v>100</v>
      </c>
      <c r="E106" s="4" t="s">
        <v>11</v>
      </c>
      <c r="F106" s="5">
        <v>20</v>
      </c>
      <c r="G106" s="3">
        <v>100</v>
      </c>
      <c r="I106" s="7"/>
      <c r="J106" s="8"/>
      <c r="K106" s="9"/>
    </row>
    <row r="107" spans="1:11" x14ac:dyDescent="0.25">
      <c r="A107" t="str">
        <f>"13811068410"</f>
        <v>13811068410</v>
      </c>
      <c r="B107" t="s">
        <v>166</v>
      </c>
      <c r="C107" t="s">
        <v>171</v>
      </c>
      <c r="D107">
        <v>100</v>
      </c>
      <c r="E107" s="10" t="s">
        <v>11</v>
      </c>
      <c r="F107" s="11">
        <v>30</v>
      </c>
      <c r="G107">
        <v>100</v>
      </c>
      <c r="I107" s="12"/>
      <c r="J107" s="8"/>
      <c r="K107" s="13"/>
    </row>
    <row r="108" spans="1:11" x14ac:dyDescent="0.25">
      <c r="A108" s="3" t="str">
        <f>"00456045801"</f>
        <v>00456045801</v>
      </c>
      <c r="B108" s="3" t="s">
        <v>172</v>
      </c>
      <c r="C108" s="3" t="s">
        <v>173</v>
      </c>
      <c r="D108" s="3">
        <v>100</v>
      </c>
      <c r="E108" s="4" t="s">
        <v>174</v>
      </c>
      <c r="F108" s="5">
        <v>0.5</v>
      </c>
      <c r="G108" s="3">
        <v>100</v>
      </c>
      <c r="I108" s="7"/>
      <c r="J108" s="8"/>
      <c r="K108" s="9"/>
    </row>
    <row r="109" spans="1:11" x14ac:dyDescent="0.25">
      <c r="A109" t="str">
        <f>"00456046401"</f>
        <v>00456046401</v>
      </c>
      <c r="B109" t="s">
        <v>172</v>
      </c>
      <c r="C109" t="s">
        <v>175</v>
      </c>
      <c r="D109">
        <v>100</v>
      </c>
      <c r="E109" s="10" t="s">
        <v>174</v>
      </c>
      <c r="F109" s="11">
        <v>5</v>
      </c>
      <c r="G109">
        <v>100</v>
      </c>
      <c r="I109" s="12"/>
      <c r="J109" s="8"/>
      <c r="K109" s="13"/>
    </row>
    <row r="110" spans="1:11" x14ac:dyDescent="0.25">
      <c r="A110" s="3" t="str">
        <f>"00085433401"</f>
        <v>00085433401</v>
      </c>
      <c r="B110" s="3" t="s">
        <v>176</v>
      </c>
      <c r="C110" s="3" t="s">
        <v>177</v>
      </c>
      <c r="D110" s="3">
        <v>120</v>
      </c>
      <c r="E110" s="4" t="s">
        <v>178</v>
      </c>
      <c r="F110" s="5">
        <v>200</v>
      </c>
      <c r="G110" s="3">
        <v>13</v>
      </c>
      <c r="I110" s="7"/>
      <c r="J110" s="8"/>
      <c r="K110" s="9"/>
    </row>
    <row r="111" spans="1:11" x14ac:dyDescent="0.25">
      <c r="A111" t="str">
        <f>"00536105301"</f>
        <v>00536105301</v>
      </c>
      <c r="B111" t="s">
        <v>179</v>
      </c>
      <c r="C111" t="s">
        <v>180</v>
      </c>
      <c r="D111">
        <v>100</v>
      </c>
      <c r="E111" s="10" t="s">
        <v>11</v>
      </c>
      <c r="F111" s="11">
        <v>325</v>
      </c>
      <c r="G111">
        <v>100</v>
      </c>
      <c r="I111" s="12"/>
      <c r="J111" s="8"/>
      <c r="K111" s="13"/>
    </row>
    <row r="112" spans="1:11" x14ac:dyDescent="0.25">
      <c r="A112" s="3" t="str">
        <f>"66553000101"</f>
        <v>66553000101</v>
      </c>
      <c r="B112" s="3" t="s">
        <v>179</v>
      </c>
      <c r="C112" s="3" t="s">
        <v>181</v>
      </c>
      <c r="D112" s="3">
        <v>500</v>
      </c>
      <c r="E112" s="4" t="s">
        <v>11</v>
      </c>
      <c r="F112" s="5">
        <v>325</v>
      </c>
      <c r="G112" s="3">
        <v>500</v>
      </c>
      <c r="I112" s="7"/>
      <c r="J112" s="8"/>
      <c r="K112" s="9"/>
    </row>
    <row r="113" spans="1:11" x14ac:dyDescent="0.25">
      <c r="A113" t="str">
        <f>"00536105429"</f>
        <v>00536105429</v>
      </c>
      <c r="B113" t="s">
        <v>179</v>
      </c>
      <c r="C113" t="s">
        <v>182</v>
      </c>
      <c r="D113">
        <v>100</v>
      </c>
      <c r="E113" s="10" t="s">
        <v>11</v>
      </c>
      <c r="F113" s="11">
        <v>325</v>
      </c>
      <c r="G113">
        <v>100</v>
      </c>
      <c r="I113" s="12"/>
      <c r="J113" s="8"/>
      <c r="K113" s="13"/>
    </row>
    <row r="114" spans="1:11" x14ac:dyDescent="0.25">
      <c r="A114" s="3" t="str">
        <f>"00904201380"</f>
        <v>00904201380</v>
      </c>
      <c r="B114" s="3" t="s">
        <v>179</v>
      </c>
      <c r="C114" s="3" t="s">
        <v>183</v>
      </c>
      <c r="D114" s="3">
        <v>1000</v>
      </c>
      <c r="E114" s="4" t="s">
        <v>184</v>
      </c>
      <c r="F114" s="5">
        <v>5</v>
      </c>
      <c r="G114" s="3">
        <v>1000</v>
      </c>
      <c r="I114" s="7"/>
      <c r="J114" s="8"/>
      <c r="K114" s="9"/>
    </row>
    <row r="115" spans="1:11" x14ac:dyDescent="0.25">
      <c r="A115" t="str">
        <f>"63739043401"</f>
        <v>63739043401</v>
      </c>
      <c r="B115" t="s">
        <v>179</v>
      </c>
      <c r="C115" t="s">
        <v>185</v>
      </c>
      <c r="D115">
        <v>750</v>
      </c>
      <c r="E115" s="10" t="s">
        <v>11</v>
      </c>
      <c r="F115" s="11">
        <v>81</v>
      </c>
      <c r="G115">
        <v>750</v>
      </c>
      <c r="I115" s="12"/>
      <c r="J115" s="8"/>
      <c r="K115" s="13"/>
    </row>
    <row r="116" spans="1:11" x14ac:dyDescent="0.25">
      <c r="A116" s="3" t="str">
        <f>"00904628889"</f>
        <v>00904628889</v>
      </c>
      <c r="B116" s="3" t="s">
        <v>179</v>
      </c>
      <c r="C116" s="3" t="s">
        <v>186</v>
      </c>
      <c r="D116" s="3">
        <v>90</v>
      </c>
      <c r="E116" s="4" t="s">
        <v>11</v>
      </c>
      <c r="F116" s="5">
        <v>81</v>
      </c>
      <c r="G116" s="3">
        <v>90</v>
      </c>
      <c r="I116" s="7"/>
      <c r="J116" s="8"/>
      <c r="K116" s="9"/>
    </row>
    <row r="117" spans="1:11" x14ac:dyDescent="0.25">
      <c r="A117" t="str">
        <f>"00904404073"</f>
        <v>00904404073</v>
      </c>
      <c r="B117" t="s">
        <v>179</v>
      </c>
      <c r="C117" t="s">
        <v>187</v>
      </c>
      <c r="D117">
        <v>36</v>
      </c>
      <c r="E117" s="10" t="s">
        <v>11</v>
      </c>
      <c r="F117" s="11">
        <v>81</v>
      </c>
      <c r="G117">
        <v>36</v>
      </c>
      <c r="I117" s="12"/>
      <c r="J117" s="8"/>
      <c r="K117" s="13"/>
    </row>
    <row r="118" spans="1:11" x14ac:dyDescent="0.25">
      <c r="A118" s="3" t="str">
        <f>"00904770480"</f>
        <v>00904770480</v>
      </c>
      <c r="B118" s="3" t="s">
        <v>179</v>
      </c>
      <c r="C118" s="3" t="s">
        <v>188</v>
      </c>
      <c r="D118" s="3">
        <v>1000</v>
      </c>
      <c r="E118" s="4" t="s">
        <v>11</v>
      </c>
      <c r="F118" s="5">
        <v>81</v>
      </c>
      <c r="G118" s="3">
        <v>1000</v>
      </c>
      <c r="I118" s="7"/>
      <c r="J118" s="8"/>
      <c r="K118" s="9"/>
    </row>
    <row r="119" spans="1:11" x14ac:dyDescent="0.25">
      <c r="A119" t="str">
        <f>"66553000201"</f>
        <v>66553000201</v>
      </c>
      <c r="B119" t="s">
        <v>179</v>
      </c>
      <c r="C119" t="s">
        <v>189</v>
      </c>
      <c r="D119">
        <v>500</v>
      </c>
      <c r="E119" s="10" t="s">
        <v>11</v>
      </c>
      <c r="F119" s="11">
        <v>81</v>
      </c>
      <c r="G119">
        <v>500</v>
      </c>
      <c r="I119" s="12"/>
      <c r="J119" s="8"/>
      <c r="K119" s="13"/>
    </row>
    <row r="120" spans="1:11" x14ac:dyDescent="0.25">
      <c r="A120" s="3" t="str">
        <f>"63739052210"</f>
        <v>63739052210</v>
      </c>
      <c r="B120" s="3" t="s">
        <v>179</v>
      </c>
      <c r="C120" s="3" t="s">
        <v>190</v>
      </c>
      <c r="D120" s="3">
        <v>100</v>
      </c>
      <c r="E120" s="4" t="s">
        <v>11</v>
      </c>
      <c r="F120" s="5">
        <v>81</v>
      </c>
      <c r="G120" s="3">
        <v>100</v>
      </c>
      <c r="I120" s="7"/>
      <c r="J120" s="8"/>
      <c r="K120" s="9"/>
    </row>
    <row r="121" spans="1:11" x14ac:dyDescent="0.25">
      <c r="A121" t="str">
        <f>"00054057521"</f>
        <v>00054057521</v>
      </c>
      <c r="B121" t="s">
        <v>191</v>
      </c>
      <c r="C121" t="s">
        <v>192</v>
      </c>
      <c r="D121">
        <v>60</v>
      </c>
      <c r="E121" s="10" t="s">
        <v>11</v>
      </c>
      <c r="F121" s="11">
        <v>200</v>
      </c>
      <c r="G121">
        <v>60</v>
      </c>
      <c r="I121" s="12"/>
      <c r="J121" s="8"/>
      <c r="K121" s="13"/>
    </row>
    <row r="122" spans="1:11" x14ac:dyDescent="0.25">
      <c r="A122" s="3" t="str">
        <f>"00093075301"</f>
        <v>00093075301</v>
      </c>
      <c r="B122" s="3" t="s">
        <v>193</v>
      </c>
      <c r="C122" s="3" t="s">
        <v>194</v>
      </c>
      <c r="D122" s="3">
        <v>100</v>
      </c>
      <c r="E122" s="4" t="s">
        <v>11</v>
      </c>
      <c r="F122" s="5">
        <v>100</v>
      </c>
      <c r="G122" s="3">
        <v>100</v>
      </c>
      <c r="I122" s="7"/>
      <c r="J122" s="8"/>
      <c r="K122" s="9"/>
    </row>
    <row r="123" spans="1:11" x14ac:dyDescent="0.25">
      <c r="A123" t="str">
        <f>"00378075710"</f>
        <v>00378075710</v>
      </c>
      <c r="B123" t="s">
        <v>193</v>
      </c>
      <c r="C123" t="s">
        <v>195</v>
      </c>
      <c r="D123">
        <v>1000</v>
      </c>
      <c r="E123" s="10" t="s">
        <v>11</v>
      </c>
      <c r="F123" s="11">
        <v>100</v>
      </c>
      <c r="G123">
        <v>1000</v>
      </c>
      <c r="I123" s="12"/>
      <c r="J123" s="8"/>
      <c r="K123" s="13"/>
    </row>
    <row r="124" spans="1:11" x14ac:dyDescent="0.25">
      <c r="A124" s="3" t="str">
        <f>"00781107801"</f>
        <v>00781107801</v>
      </c>
      <c r="B124" s="3" t="s">
        <v>193</v>
      </c>
      <c r="C124" s="3" t="s">
        <v>196</v>
      </c>
      <c r="D124" s="3">
        <v>100</v>
      </c>
      <c r="E124" s="4" t="s">
        <v>11</v>
      </c>
      <c r="F124" s="5">
        <v>25</v>
      </c>
      <c r="G124" s="3">
        <v>100</v>
      </c>
      <c r="I124" s="7"/>
      <c r="J124" s="8"/>
      <c r="K124" s="9"/>
    </row>
    <row r="125" spans="1:11" x14ac:dyDescent="0.25">
      <c r="A125" t="str">
        <f>"00904539261"</f>
        <v>00904539261</v>
      </c>
      <c r="B125" t="s">
        <v>193</v>
      </c>
      <c r="C125" t="s">
        <v>197</v>
      </c>
      <c r="D125">
        <v>100</v>
      </c>
      <c r="E125" s="10" t="s">
        <v>11</v>
      </c>
      <c r="F125" s="11">
        <v>25</v>
      </c>
      <c r="G125">
        <v>100</v>
      </c>
      <c r="I125" s="12"/>
      <c r="J125" s="8"/>
      <c r="K125" s="13"/>
    </row>
    <row r="126" spans="1:11" x14ac:dyDescent="0.25">
      <c r="A126" s="3" t="str">
        <f>"00781107810"</f>
        <v>00781107810</v>
      </c>
      <c r="B126" s="3" t="s">
        <v>193</v>
      </c>
      <c r="C126" s="3" t="s">
        <v>198</v>
      </c>
      <c r="D126" s="3">
        <v>1000</v>
      </c>
      <c r="E126" s="4" t="s">
        <v>11</v>
      </c>
      <c r="F126" s="5">
        <v>25</v>
      </c>
      <c r="G126" s="3">
        <v>1000</v>
      </c>
      <c r="I126" s="7"/>
      <c r="J126" s="8"/>
      <c r="K126" s="9"/>
    </row>
    <row r="127" spans="1:11" x14ac:dyDescent="0.25">
      <c r="A127" t="str">
        <f>"00093075201"</f>
        <v>00093075201</v>
      </c>
      <c r="B127" t="s">
        <v>193</v>
      </c>
      <c r="C127" t="s">
        <v>199</v>
      </c>
      <c r="D127">
        <v>100</v>
      </c>
      <c r="E127" s="10" t="s">
        <v>11</v>
      </c>
      <c r="F127" s="11">
        <v>50</v>
      </c>
      <c r="G127">
        <v>100</v>
      </c>
      <c r="I127" s="12"/>
      <c r="J127" s="8"/>
      <c r="K127" s="13"/>
    </row>
    <row r="128" spans="1:11" x14ac:dyDescent="0.25">
      <c r="A128" s="3" t="str">
        <f>"51079068420"</f>
        <v>51079068420</v>
      </c>
      <c r="B128" s="3" t="s">
        <v>193</v>
      </c>
      <c r="C128" s="3" t="s">
        <v>200</v>
      </c>
      <c r="D128" s="3">
        <v>100</v>
      </c>
      <c r="E128" s="4" t="s">
        <v>11</v>
      </c>
      <c r="F128" s="5">
        <v>50</v>
      </c>
      <c r="G128" s="3">
        <v>100</v>
      </c>
      <c r="I128" s="7"/>
      <c r="J128" s="8"/>
      <c r="K128" s="9"/>
    </row>
    <row r="129" spans="1:11" x14ac:dyDescent="0.25">
      <c r="A129" t="str">
        <f>"00093075210"</f>
        <v>00093075210</v>
      </c>
      <c r="B129" t="s">
        <v>193</v>
      </c>
      <c r="C129" t="s">
        <v>201</v>
      </c>
      <c r="D129">
        <v>1000</v>
      </c>
      <c r="E129" s="10" t="s">
        <v>11</v>
      </c>
      <c r="F129" s="11">
        <v>50</v>
      </c>
      <c r="G129">
        <v>1000</v>
      </c>
      <c r="I129" s="12"/>
      <c r="J129" s="8"/>
      <c r="K129" s="13"/>
    </row>
    <row r="130" spans="1:11" x14ac:dyDescent="0.25">
      <c r="A130" s="3" t="str">
        <f>"66993004630"</f>
        <v>66993004630</v>
      </c>
      <c r="B130" s="3" t="s">
        <v>202</v>
      </c>
      <c r="C130" s="3" t="s">
        <v>203</v>
      </c>
      <c r="D130" s="3">
        <v>30</v>
      </c>
      <c r="E130" s="4" t="s">
        <v>11</v>
      </c>
      <c r="F130" s="5">
        <v>100</v>
      </c>
      <c r="G130" s="3">
        <v>30</v>
      </c>
      <c r="I130" s="7"/>
      <c r="J130" s="8"/>
      <c r="K130" s="9"/>
    </row>
    <row r="131" spans="1:11" x14ac:dyDescent="0.25">
      <c r="A131" t="str">
        <f>"66993004030"</f>
        <v>66993004030</v>
      </c>
      <c r="B131" t="s">
        <v>202</v>
      </c>
      <c r="C131" t="s">
        <v>204</v>
      </c>
      <c r="D131">
        <v>30</v>
      </c>
      <c r="E131" s="10" t="s">
        <v>11</v>
      </c>
      <c r="F131" s="11">
        <v>10</v>
      </c>
      <c r="G131">
        <v>30</v>
      </c>
      <c r="I131" s="12"/>
      <c r="J131" s="8"/>
      <c r="K131" s="13"/>
    </row>
    <row r="132" spans="1:11" x14ac:dyDescent="0.25">
      <c r="A132" s="3" t="str">
        <f>"66993004230"</f>
        <v>66993004230</v>
      </c>
      <c r="B132" s="3" t="s">
        <v>202</v>
      </c>
      <c r="C132" s="3" t="s">
        <v>205</v>
      </c>
      <c r="D132" s="3">
        <v>30</v>
      </c>
      <c r="E132" s="4" t="s">
        <v>11</v>
      </c>
      <c r="F132" s="5">
        <v>25</v>
      </c>
      <c r="G132" s="3">
        <v>30</v>
      </c>
      <c r="I132" s="7"/>
      <c r="J132" s="8"/>
      <c r="K132" s="9"/>
    </row>
    <row r="133" spans="1:11" x14ac:dyDescent="0.25">
      <c r="A133" t="str">
        <f>"66993004330"</f>
        <v>66993004330</v>
      </c>
      <c r="B133" t="s">
        <v>202</v>
      </c>
      <c r="C133" t="s">
        <v>206</v>
      </c>
      <c r="D133">
        <v>30</v>
      </c>
      <c r="E133" s="10" t="s">
        <v>11</v>
      </c>
      <c r="F133" s="11">
        <v>40</v>
      </c>
      <c r="G133">
        <v>30</v>
      </c>
      <c r="I133" s="12"/>
      <c r="J133" s="8"/>
      <c r="K133" s="13"/>
    </row>
    <row r="134" spans="1:11" x14ac:dyDescent="0.25">
      <c r="A134" s="3" t="str">
        <f>"66993004430"</f>
        <v>66993004430</v>
      </c>
      <c r="B134" s="3" t="s">
        <v>202</v>
      </c>
      <c r="C134" s="3" t="s">
        <v>207</v>
      </c>
      <c r="D134" s="3">
        <v>30</v>
      </c>
      <c r="E134" s="4" t="s">
        <v>11</v>
      </c>
      <c r="F134" s="5">
        <v>60</v>
      </c>
      <c r="G134" s="3">
        <v>30</v>
      </c>
      <c r="I134" s="7"/>
      <c r="J134" s="8"/>
      <c r="K134" s="9"/>
    </row>
    <row r="135" spans="1:11" x14ac:dyDescent="0.25">
      <c r="A135" t="str">
        <f>"66993004530"</f>
        <v>66993004530</v>
      </c>
      <c r="B135" t="s">
        <v>202</v>
      </c>
      <c r="C135" t="s">
        <v>208</v>
      </c>
      <c r="D135">
        <v>30</v>
      </c>
      <c r="E135" s="10" t="s">
        <v>11</v>
      </c>
      <c r="F135" s="11">
        <v>80</v>
      </c>
      <c r="G135">
        <v>30</v>
      </c>
      <c r="I135" s="12"/>
      <c r="J135" s="8"/>
      <c r="K135" s="13"/>
    </row>
    <row r="136" spans="1:11" x14ac:dyDescent="0.25">
      <c r="A136" s="3" t="str">
        <f>"68084009701"</f>
        <v>68084009701</v>
      </c>
      <c r="B136" s="3" t="s">
        <v>209</v>
      </c>
      <c r="C136" s="3" t="s">
        <v>210</v>
      </c>
      <c r="D136" s="3">
        <v>100</v>
      </c>
      <c r="E136" s="4" t="s">
        <v>11</v>
      </c>
      <c r="F136" s="5">
        <v>10</v>
      </c>
      <c r="G136" s="3">
        <v>100</v>
      </c>
      <c r="I136" s="7"/>
      <c r="J136" s="8"/>
      <c r="K136" s="9"/>
    </row>
    <row r="137" spans="1:11" x14ac:dyDescent="0.25">
      <c r="A137" t="str">
        <f>"60505257808"</f>
        <v>60505257808</v>
      </c>
      <c r="B137" t="s">
        <v>209</v>
      </c>
      <c r="C137" t="s">
        <v>211</v>
      </c>
      <c r="D137">
        <v>1000</v>
      </c>
      <c r="E137" s="10" t="s">
        <v>11</v>
      </c>
      <c r="F137" s="11">
        <v>10</v>
      </c>
      <c r="G137">
        <v>1000</v>
      </c>
      <c r="I137" s="12"/>
      <c r="J137" s="8"/>
      <c r="K137" s="13"/>
    </row>
    <row r="138" spans="1:11" x14ac:dyDescent="0.25">
      <c r="A138" s="3" t="str">
        <f>"60505257809"</f>
        <v>60505257809</v>
      </c>
      <c r="B138" s="3" t="s">
        <v>209</v>
      </c>
      <c r="C138" s="3" t="s">
        <v>212</v>
      </c>
      <c r="D138" s="3">
        <v>90</v>
      </c>
      <c r="E138" s="4" t="s">
        <v>11</v>
      </c>
      <c r="F138" s="5">
        <v>10</v>
      </c>
      <c r="G138" s="3">
        <v>90</v>
      </c>
      <c r="I138" s="7"/>
      <c r="J138" s="8"/>
      <c r="K138" s="9"/>
    </row>
    <row r="139" spans="1:11" x14ac:dyDescent="0.25">
      <c r="A139" t="str">
        <f>"68084009801"</f>
        <v>68084009801</v>
      </c>
      <c r="B139" t="s">
        <v>209</v>
      </c>
      <c r="C139" t="s">
        <v>213</v>
      </c>
      <c r="D139">
        <v>100</v>
      </c>
      <c r="E139" s="10" t="s">
        <v>11</v>
      </c>
      <c r="F139" s="11">
        <v>20</v>
      </c>
      <c r="G139">
        <v>100</v>
      </c>
      <c r="I139" s="12"/>
      <c r="J139" s="8"/>
      <c r="K139" s="13"/>
    </row>
    <row r="140" spans="1:11" x14ac:dyDescent="0.25">
      <c r="A140" s="3" t="str">
        <f>"60505257908"</f>
        <v>60505257908</v>
      </c>
      <c r="B140" s="3" t="s">
        <v>209</v>
      </c>
      <c r="C140" s="3" t="s">
        <v>214</v>
      </c>
      <c r="D140" s="3">
        <v>1000</v>
      </c>
      <c r="E140" s="4" t="s">
        <v>11</v>
      </c>
      <c r="F140" s="5">
        <v>20</v>
      </c>
      <c r="G140" s="3">
        <v>1000</v>
      </c>
      <c r="I140" s="7"/>
      <c r="J140" s="8"/>
      <c r="K140" s="9"/>
    </row>
    <row r="141" spans="1:11" x14ac:dyDescent="0.25">
      <c r="A141" t="str">
        <f>"60505257909"</f>
        <v>60505257909</v>
      </c>
      <c r="B141" t="s">
        <v>209</v>
      </c>
      <c r="C141" t="s">
        <v>215</v>
      </c>
      <c r="D141">
        <v>90</v>
      </c>
      <c r="E141" s="10" t="s">
        <v>11</v>
      </c>
      <c r="F141" s="11">
        <v>20</v>
      </c>
      <c r="G141">
        <v>90</v>
      </c>
      <c r="I141" s="12"/>
      <c r="J141" s="8"/>
      <c r="K141" s="13"/>
    </row>
    <row r="142" spans="1:11" x14ac:dyDescent="0.25">
      <c r="A142" s="3" t="str">
        <f>"68084009901"</f>
        <v>68084009901</v>
      </c>
      <c r="B142" s="3" t="s">
        <v>209</v>
      </c>
      <c r="C142" s="3" t="s">
        <v>216</v>
      </c>
      <c r="D142" s="3">
        <v>100</v>
      </c>
      <c r="E142" s="4" t="s">
        <v>11</v>
      </c>
      <c r="F142" s="5">
        <v>40</v>
      </c>
      <c r="G142" s="3">
        <v>100</v>
      </c>
      <c r="I142" s="7"/>
      <c r="J142" s="8"/>
      <c r="K142" s="9"/>
    </row>
    <row r="143" spans="1:11" x14ac:dyDescent="0.25">
      <c r="A143" t="str">
        <f>"60505258008"</f>
        <v>60505258008</v>
      </c>
      <c r="B143" t="s">
        <v>209</v>
      </c>
      <c r="C143" t="s">
        <v>217</v>
      </c>
      <c r="D143">
        <v>1000</v>
      </c>
      <c r="E143" s="10" t="s">
        <v>11</v>
      </c>
      <c r="F143" s="11">
        <v>40</v>
      </c>
      <c r="G143">
        <v>1000</v>
      </c>
      <c r="I143" s="12"/>
      <c r="J143" s="8"/>
      <c r="K143" s="13"/>
    </row>
    <row r="144" spans="1:11" x14ac:dyDescent="0.25">
      <c r="A144" s="3" t="str">
        <f>"60505258009"</f>
        <v>60505258009</v>
      </c>
      <c r="B144" s="3" t="s">
        <v>209</v>
      </c>
      <c r="C144" s="3" t="s">
        <v>218</v>
      </c>
      <c r="D144" s="3">
        <v>90</v>
      </c>
      <c r="E144" s="4" t="s">
        <v>11</v>
      </c>
      <c r="F144" s="5">
        <v>40</v>
      </c>
      <c r="G144" s="3">
        <v>90</v>
      </c>
      <c r="I144" s="7"/>
      <c r="J144" s="8"/>
      <c r="K144" s="9"/>
    </row>
    <row r="145" spans="1:11" x14ac:dyDescent="0.25">
      <c r="A145" t="str">
        <f>"60505267108"</f>
        <v>60505267108</v>
      </c>
      <c r="B145" t="s">
        <v>209</v>
      </c>
      <c r="C145" t="s">
        <v>219</v>
      </c>
      <c r="D145">
        <v>1000</v>
      </c>
      <c r="E145" s="10" t="s">
        <v>11</v>
      </c>
      <c r="F145" s="11">
        <v>80</v>
      </c>
      <c r="G145">
        <v>1000</v>
      </c>
      <c r="I145" s="12"/>
      <c r="J145" s="8"/>
      <c r="K145" s="13"/>
    </row>
    <row r="146" spans="1:11" x14ac:dyDescent="0.25">
      <c r="A146" s="3" t="str">
        <f>"59762015802"</f>
        <v>59762015802</v>
      </c>
      <c r="B146" s="3" t="s">
        <v>209</v>
      </c>
      <c r="C146" s="3" t="s">
        <v>221</v>
      </c>
      <c r="D146" s="3">
        <v>500</v>
      </c>
      <c r="E146" s="4" t="s">
        <v>11</v>
      </c>
      <c r="F146" s="5">
        <v>80</v>
      </c>
      <c r="G146" s="3">
        <v>500</v>
      </c>
      <c r="I146" s="7"/>
      <c r="J146" s="8"/>
      <c r="K146" s="9"/>
    </row>
    <row r="147" spans="1:11" ht="13.9" customHeight="1" x14ac:dyDescent="0.25">
      <c r="A147" t="str">
        <f>"60505267109"</f>
        <v>60505267109</v>
      </c>
      <c r="B147" t="s">
        <v>209</v>
      </c>
      <c r="C147" t="s">
        <v>220</v>
      </c>
      <c r="D147">
        <v>90</v>
      </c>
      <c r="E147" s="10" t="s">
        <v>11</v>
      </c>
      <c r="F147" s="11">
        <v>80</v>
      </c>
      <c r="G147">
        <v>90</v>
      </c>
      <c r="I147" s="12"/>
      <c r="J147" s="8"/>
      <c r="K147" s="13"/>
    </row>
    <row r="148" spans="1:11" x14ac:dyDescent="0.25">
      <c r="A148" s="3" t="str">
        <f>"65162069388"</f>
        <v>65162069388</v>
      </c>
      <c r="B148" s="3" t="s">
        <v>222</v>
      </c>
      <c r="C148" s="3" t="s">
        <v>223</v>
      </c>
      <c r="D148" s="3">
        <v>210</v>
      </c>
      <c r="E148" s="4" t="s">
        <v>20</v>
      </c>
      <c r="F148" s="5">
        <v>150</v>
      </c>
      <c r="G148" s="3">
        <v>210</v>
      </c>
      <c r="I148" s="7"/>
      <c r="J148" s="8"/>
      <c r="K148" s="9"/>
    </row>
    <row r="149" spans="1:11" x14ac:dyDescent="0.25">
      <c r="A149" t="str">
        <f>"15584010101"</f>
        <v>15584010101</v>
      </c>
      <c r="B149" t="s">
        <v>224</v>
      </c>
      <c r="C149" t="s">
        <v>225</v>
      </c>
      <c r="D149">
        <v>30</v>
      </c>
      <c r="G149">
        <v>30</v>
      </c>
      <c r="I149" s="12"/>
      <c r="J149" s="8"/>
      <c r="K149" s="13"/>
    </row>
    <row r="150" spans="1:11" x14ac:dyDescent="0.25">
      <c r="A150" s="3" t="str">
        <f>"17478021502"</f>
        <v>17478021502</v>
      </c>
      <c r="B150" s="3" t="s">
        <v>226</v>
      </c>
      <c r="C150" s="3" t="s">
        <v>227</v>
      </c>
      <c r="D150" s="3">
        <v>2</v>
      </c>
      <c r="E150" s="4" t="s">
        <v>36</v>
      </c>
      <c r="F150" s="5">
        <v>0.01</v>
      </c>
      <c r="G150" s="3">
        <v>2</v>
      </c>
      <c r="I150" s="7"/>
      <c r="J150" s="8"/>
      <c r="K150" s="9"/>
    </row>
    <row r="151" spans="1:11" x14ac:dyDescent="0.25">
      <c r="A151" t="str">
        <f>"17478021505"</f>
        <v>17478021505</v>
      </c>
      <c r="B151" t="s">
        <v>226</v>
      </c>
      <c r="C151" t="s">
        <v>228</v>
      </c>
      <c r="D151">
        <v>5</v>
      </c>
      <c r="E151" s="10" t="s">
        <v>36</v>
      </c>
      <c r="F151" s="11">
        <v>0.01</v>
      </c>
      <c r="G151">
        <v>5</v>
      </c>
      <c r="I151" s="12"/>
      <c r="J151" s="8"/>
      <c r="K151" s="13"/>
    </row>
    <row r="152" spans="1:11" x14ac:dyDescent="0.25">
      <c r="A152" s="3" t="str">
        <f>"24208082555"</f>
        <v>24208082555</v>
      </c>
      <c r="B152" s="3" t="s">
        <v>226</v>
      </c>
      <c r="C152" s="3" t="s">
        <v>229</v>
      </c>
      <c r="D152" s="3">
        <v>3.5</v>
      </c>
      <c r="E152" s="4" t="s">
        <v>36</v>
      </c>
      <c r="F152" s="5">
        <v>0.01</v>
      </c>
      <c r="G152" s="3">
        <v>3.5</v>
      </c>
      <c r="I152" s="7"/>
      <c r="J152" s="8"/>
      <c r="K152" s="9"/>
    </row>
    <row r="153" spans="1:11" x14ac:dyDescent="0.25">
      <c r="A153" t="str">
        <f>"00597008717"</f>
        <v>00597008717</v>
      </c>
      <c r="B153" t="s">
        <v>230</v>
      </c>
      <c r="C153" t="s">
        <v>231</v>
      </c>
      <c r="D153">
        <v>12.9</v>
      </c>
      <c r="E153" s="10" t="s">
        <v>178</v>
      </c>
      <c r="F153" s="11">
        <v>17</v>
      </c>
      <c r="G153">
        <v>12.9</v>
      </c>
      <c r="I153" s="12"/>
      <c r="J153" s="8"/>
      <c r="K153" s="13"/>
    </row>
    <row r="154" spans="1:11" x14ac:dyDescent="0.25">
      <c r="A154" s="3" t="str">
        <f>"59922063101"</f>
        <v>59922063101</v>
      </c>
      <c r="B154" s="3" t="s">
        <v>232</v>
      </c>
      <c r="C154" s="3" t="s">
        <v>233</v>
      </c>
      <c r="D154" s="3">
        <v>200</v>
      </c>
      <c r="E154" s="4" t="s">
        <v>11</v>
      </c>
      <c r="F154" s="5">
        <v>210</v>
      </c>
      <c r="G154" s="3">
        <v>200</v>
      </c>
      <c r="I154" s="7"/>
      <c r="J154" s="8"/>
      <c r="K154" s="9"/>
    </row>
    <row r="155" spans="1:11" x14ac:dyDescent="0.25">
      <c r="B155" t="s">
        <v>234</v>
      </c>
      <c r="C155" t="s">
        <v>234</v>
      </c>
      <c r="G155">
        <v>0</v>
      </c>
      <c r="I155" s="12"/>
      <c r="J155" s="8"/>
      <c r="K155" s="13"/>
    </row>
    <row r="156" spans="1:11" x14ac:dyDescent="0.25">
      <c r="A156" s="3"/>
      <c r="B156" s="3" t="s">
        <v>234</v>
      </c>
      <c r="C156" s="3" t="s">
        <v>234</v>
      </c>
      <c r="D156" s="3"/>
      <c r="E156" s="4"/>
      <c r="F156" s="5"/>
      <c r="G156" s="3"/>
      <c r="I156" s="7"/>
      <c r="J156" s="8"/>
      <c r="K156" s="9"/>
    </row>
    <row r="157" spans="1:11" x14ac:dyDescent="0.25">
      <c r="B157" t="s">
        <v>234</v>
      </c>
      <c r="C157" t="s">
        <v>234</v>
      </c>
      <c r="I157" s="12"/>
      <c r="J157" s="8"/>
      <c r="K157" s="13"/>
    </row>
    <row r="158" spans="1:11" x14ac:dyDescent="0.25">
      <c r="A158" s="3"/>
      <c r="B158" s="3" t="s">
        <v>234</v>
      </c>
      <c r="C158" s="3" t="s">
        <v>234</v>
      </c>
      <c r="D158" s="3"/>
      <c r="E158" s="4"/>
      <c r="F158" s="5"/>
      <c r="G158" s="3"/>
      <c r="I158" s="7"/>
      <c r="J158" s="8"/>
      <c r="K158" s="9"/>
    </row>
    <row r="159" spans="1:11" x14ac:dyDescent="0.25">
      <c r="B159" t="s">
        <v>234</v>
      </c>
      <c r="C159" t="s">
        <v>234</v>
      </c>
      <c r="I159" s="12"/>
      <c r="J159" s="8"/>
      <c r="K159" s="13"/>
    </row>
    <row r="160" spans="1:11" x14ac:dyDescent="0.25">
      <c r="A160" s="3" t="str">
        <f>"08137101842"</f>
        <v>08137101842</v>
      </c>
      <c r="B160" s="3" t="s">
        <v>235</v>
      </c>
      <c r="C160" s="3" t="s">
        <v>236</v>
      </c>
      <c r="D160" s="3">
        <v>7.3</v>
      </c>
      <c r="E160" s="4"/>
      <c r="F160" s="5"/>
      <c r="G160" s="3">
        <v>207</v>
      </c>
      <c r="I160" s="7"/>
      <c r="J160" s="8"/>
      <c r="K160" s="9"/>
    </row>
    <row r="161" spans="1:11" x14ac:dyDescent="0.25">
      <c r="C161" t="s">
        <v>237</v>
      </c>
      <c r="D161">
        <v>12</v>
      </c>
      <c r="G161">
        <v>0</v>
      </c>
      <c r="I161" s="12"/>
      <c r="J161" s="8"/>
      <c r="K161" s="13"/>
    </row>
    <row r="162" spans="1:11" x14ac:dyDescent="0.25">
      <c r="A162" s="3"/>
      <c r="B162" s="3" t="s">
        <v>237</v>
      </c>
      <c r="C162" s="3" t="s">
        <v>237</v>
      </c>
      <c r="D162" s="3">
        <v>12</v>
      </c>
      <c r="E162" s="4"/>
      <c r="F162" s="5"/>
      <c r="G162" s="3"/>
      <c r="I162" s="7"/>
      <c r="J162" s="8"/>
      <c r="K162" s="9"/>
    </row>
    <row r="163" spans="1:11" x14ac:dyDescent="0.25">
      <c r="A163" t="str">
        <f>"59627022205"</f>
        <v>59627022205</v>
      </c>
      <c r="B163" t="s">
        <v>238</v>
      </c>
      <c r="C163" t="s">
        <v>239</v>
      </c>
      <c r="D163">
        <v>4</v>
      </c>
      <c r="E163" s="10" t="s">
        <v>240</v>
      </c>
      <c r="F163" s="11" t="s">
        <v>241</v>
      </c>
      <c r="G163">
        <v>1</v>
      </c>
      <c r="I163" s="12"/>
      <c r="J163" s="8"/>
      <c r="K163" s="13"/>
    </row>
    <row r="164" spans="1:11" x14ac:dyDescent="0.25">
      <c r="A164" s="3" t="str">
        <f>"17478030703"</f>
        <v>17478030703</v>
      </c>
      <c r="B164" s="3" t="s">
        <v>242</v>
      </c>
      <c r="C164" s="3" t="s">
        <v>243</v>
      </c>
      <c r="D164" s="3">
        <v>2.5</v>
      </c>
      <c r="E164" s="4" t="s">
        <v>36</v>
      </c>
      <c r="F164" s="5">
        <v>0.01</v>
      </c>
      <c r="G164" s="3">
        <v>2.5</v>
      </c>
      <c r="I164" s="7"/>
      <c r="J164" s="8"/>
      <c r="K164" s="9"/>
    </row>
    <row r="165" spans="1:11" x14ac:dyDescent="0.25">
      <c r="A165" t="str">
        <f>"68084022901"</f>
        <v>68084022901</v>
      </c>
      <c r="B165" t="s">
        <v>244</v>
      </c>
      <c r="C165" t="s">
        <v>245</v>
      </c>
      <c r="D165">
        <v>100</v>
      </c>
      <c r="E165" s="10" t="s">
        <v>11</v>
      </c>
      <c r="F165" s="11">
        <v>50</v>
      </c>
      <c r="G165">
        <v>100</v>
      </c>
      <c r="I165" s="12"/>
      <c r="J165" s="8"/>
      <c r="K165" s="13"/>
    </row>
    <row r="166" spans="1:11" x14ac:dyDescent="0.25">
      <c r="A166" s="3" t="str">
        <f>"51525029403"</f>
        <v>51525029403</v>
      </c>
      <c r="B166" s="3" t="s">
        <v>246</v>
      </c>
      <c r="C166" s="3" t="s">
        <v>247</v>
      </c>
      <c r="D166" s="3">
        <v>30</v>
      </c>
      <c r="E166" s="4" t="s">
        <v>178</v>
      </c>
      <c r="F166" s="5">
        <v>137</v>
      </c>
      <c r="G166" s="3">
        <v>30</v>
      </c>
      <c r="I166" s="7"/>
      <c r="J166" s="8"/>
      <c r="K166" s="9"/>
    </row>
    <row r="167" spans="1:11" x14ac:dyDescent="0.25">
      <c r="A167" t="str">
        <f>"00093714656"</f>
        <v>00093714656</v>
      </c>
      <c r="B167" t="s">
        <v>242</v>
      </c>
      <c r="C167" t="s">
        <v>248</v>
      </c>
      <c r="D167">
        <v>30</v>
      </c>
      <c r="E167" s="10" t="s">
        <v>11</v>
      </c>
      <c r="F167" s="11">
        <v>250</v>
      </c>
      <c r="G167">
        <v>30</v>
      </c>
      <c r="I167" s="12"/>
      <c r="J167" s="8"/>
      <c r="K167" s="13"/>
    </row>
    <row r="168" spans="1:11" x14ac:dyDescent="0.25">
      <c r="A168" s="3" t="str">
        <f>"00093714756"</f>
        <v>00093714756</v>
      </c>
      <c r="B168" s="3" t="s">
        <v>242</v>
      </c>
      <c r="C168" s="3" t="s">
        <v>249</v>
      </c>
      <c r="D168" s="3">
        <v>30</v>
      </c>
      <c r="E168" s="4" t="s">
        <v>11</v>
      </c>
      <c r="F168" s="5">
        <v>600</v>
      </c>
      <c r="G168" s="3">
        <v>30</v>
      </c>
      <c r="I168" s="7"/>
      <c r="J168" s="8"/>
      <c r="K168" s="9"/>
    </row>
    <row r="169" spans="1:11" x14ac:dyDescent="0.25">
      <c r="A169" t="str">
        <f>"00065027510"</f>
        <v>00065027510</v>
      </c>
      <c r="B169" t="s">
        <v>250</v>
      </c>
      <c r="C169" t="s">
        <v>251</v>
      </c>
      <c r="D169">
        <v>10</v>
      </c>
      <c r="E169" s="10" t="s">
        <v>36</v>
      </c>
      <c r="F169" s="11">
        <v>0.01</v>
      </c>
      <c r="G169">
        <v>10</v>
      </c>
      <c r="I169" s="12"/>
      <c r="J169" s="8"/>
      <c r="K169" s="13"/>
    </row>
    <row r="170" spans="1:11" x14ac:dyDescent="0.25">
      <c r="A170" s="3" t="str">
        <f>"00168002135"</f>
        <v>00168002135</v>
      </c>
      <c r="B170" s="3" t="s">
        <v>252</v>
      </c>
      <c r="C170" s="3" t="s">
        <v>253</v>
      </c>
      <c r="D170" s="3">
        <v>0.5</v>
      </c>
      <c r="E170" s="4"/>
      <c r="F170" s="5"/>
      <c r="G170" s="3">
        <v>14.17</v>
      </c>
      <c r="I170" s="7"/>
      <c r="J170" s="8"/>
      <c r="K170" s="9"/>
    </row>
    <row r="171" spans="1:11" x14ac:dyDescent="0.25">
      <c r="A171" t="str">
        <f>"00168002131"</f>
        <v>00168002131</v>
      </c>
      <c r="B171" t="s">
        <v>252</v>
      </c>
      <c r="C171" t="s">
        <v>254</v>
      </c>
      <c r="D171">
        <v>1</v>
      </c>
      <c r="G171">
        <v>28.35</v>
      </c>
      <c r="I171" s="12"/>
      <c r="J171" s="8"/>
      <c r="K171" s="13"/>
    </row>
    <row r="172" spans="1:11" x14ac:dyDescent="0.25">
      <c r="A172" s="3" t="str">
        <f>"00574402235"</f>
        <v>00574402235</v>
      </c>
      <c r="B172" s="3" t="s">
        <v>255</v>
      </c>
      <c r="C172" s="3" t="s">
        <v>256</v>
      </c>
      <c r="D172" s="3">
        <v>3.5</v>
      </c>
      <c r="E172" s="4" t="s">
        <v>257</v>
      </c>
      <c r="F172" s="5">
        <v>500</v>
      </c>
      <c r="G172" s="3">
        <v>3.5</v>
      </c>
      <c r="I172" s="7"/>
      <c r="J172" s="8"/>
      <c r="K172" s="9"/>
    </row>
    <row r="173" spans="1:11" x14ac:dyDescent="0.25">
      <c r="A173" t="str">
        <f>"00713028031"</f>
        <v>00713028031</v>
      </c>
      <c r="B173" t="s">
        <v>255</v>
      </c>
      <c r="C173" t="s">
        <v>258</v>
      </c>
      <c r="D173">
        <v>28.4</v>
      </c>
      <c r="E173" s="10" t="s">
        <v>259</v>
      </c>
      <c r="F173" s="11">
        <v>500</v>
      </c>
      <c r="G173">
        <v>28.4</v>
      </c>
      <c r="I173" s="12"/>
      <c r="J173" s="8"/>
      <c r="K173" s="13"/>
    </row>
    <row r="174" spans="1:11" x14ac:dyDescent="0.25">
      <c r="A174" s="3" t="str">
        <f>"00832102400"</f>
        <v>00832102400</v>
      </c>
      <c r="B174" s="3" t="s">
        <v>260</v>
      </c>
      <c r="C174" s="3" t="s">
        <v>261</v>
      </c>
      <c r="D174" s="3">
        <v>100</v>
      </c>
      <c r="E174" s="4" t="s">
        <v>11</v>
      </c>
      <c r="F174" s="5">
        <v>10</v>
      </c>
      <c r="G174" s="3">
        <v>100</v>
      </c>
      <c r="I174" s="7"/>
      <c r="J174" s="8"/>
      <c r="K174" s="9"/>
    </row>
    <row r="175" spans="1:11" x14ac:dyDescent="0.25">
      <c r="A175" t="str">
        <f>"68084085501"</f>
        <v>68084085501</v>
      </c>
      <c r="B175" t="s">
        <v>260</v>
      </c>
      <c r="C175" t="s">
        <v>262</v>
      </c>
      <c r="D175">
        <v>100</v>
      </c>
      <c r="E175" s="10" t="s">
        <v>11</v>
      </c>
      <c r="F175" s="11">
        <v>10</v>
      </c>
      <c r="G175">
        <v>100</v>
      </c>
      <c r="I175" s="12"/>
      <c r="J175" s="8"/>
      <c r="K175" s="13"/>
    </row>
    <row r="176" spans="1:11" x14ac:dyDescent="0.25">
      <c r="A176" s="3" t="str">
        <f>"00832102410"</f>
        <v>00832102410</v>
      </c>
      <c r="B176" s="3" t="s">
        <v>260</v>
      </c>
      <c r="C176" s="3" t="s">
        <v>263</v>
      </c>
      <c r="D176" s="3">
        <v>1000</v>
      </c>
      <c r="E176" s="4" t="s">
        <v>11</v>
      </c>
      <c r="F176" s="5">
        <v>10</v>
      </c>
      <c r="G176" s="3">
        <v>1000</v>
      </c>
      <c r="I176" s="7"/>
      <c r="J176" s="8"/>
      <c r="K176" s="9"/>
    </row>
    <row r="177" spans="1:11" x14ac:dyDescent="0.25">
      <c r="A177" t="str">
        <f>"00904647561"</f>
        <v>00904647561</v>
      </c>
      <c r="B177" t="s">
        <v>260</v>
      </c>
      <c r="C177" t="s">
        <v>264</v>
      </c>
      <c r="D177">
        <v>100</v>
      </c>
      <c r="E177" s="10" t="s">
        <v>11</v>
      </c>
      <c r="F177" s="11">
        <v>10</v>
      </c>
      <c r="G177">
        <v>100</v>
      </c>
      <c r="I177" s="12"/>
      <c r="J177" s="8"/>
      <c r="K177" s="13"/>
    </row>
    <row r="178" spans="1:11" x14ac:dyDescent="0.25">
      <c r="A178" s="3" t="str">
        <f>"00832102500"</f>
        <v>00832102500</v>
      </c>
      <c r="B178" s="3" t="s">
        <v>260</v>
      </c>
      <c r="C178" s="3" t="s">
        <v>265</v>
      </c>
      <c r="D178" s="3">
        <v>100</v>
      </c>
      <c r="E178" s="4" t="s">
        <v>11</v>
      </c>
      <c r="F178" s="5">
        <v>20</v>
      </c>
      <c r="G178" s="3">
        <v>100</v>
      </c>
      <c r="I178" s="7"/>
      <c r="J178" s="8"/>
      <c r="K178" s="9"/>
    </row>
    <row r="179" spans="1:11" x14ac:dyDescent="0.25">
      <c r="A179" t="str">
        <f>"00904647661"</f>
        <v>00904647661</v>
      </c>
      <c r="B179" t="s">
        <v>260</v>
      </c>
      <c r="C179" t="s">
        <v>266</v>
      </c>
      <c r="D179">
        <v>100</v>
      </c>
      <c r="E179" s="10" t="s">
        <v>11</v>
      </c>
      <c r="F179" s="11">
        <v>20</v>
      </c>
      <c r="G179">
        <v>100</v>
      </c>
      <c r="I179" s="12"/>
      <c r="J179" s="8"/>
      <c r="K179" s="13"/>
    </row>
    <row r="180" spans="1:11" x14ac:dyDescent="0.25">
      <c r="A180" s="3"/>
      <c r="B180" s="3" t="s">
        <v>267</v>
      </c>
      <c r="C180" s="3" t="s">
        <v>267</v>
      </c>
      <c r="D180" s="3">
        <v>8</v>
      </c>
      <c r="E180" s="4"/>
      <c r="F180" s="5"/>
      <c r="G180" s="3">
        <v>0</v>
      </c>
      <c r="I180" s="7"/>
      <c r="J180" s="8"/>
      <c r="K180" s="9"/>
    </row>
    <row r="181" spans="1:11" x14ac:dyDescent="0.25">
      <c r="B181" t="s">
        <v>268</v>
      </c>
      <c r="C181" t="s">
        <v>268</v>
      </c>
      <c r="D181">
        <v>1000</v>
      </c>
      <c r="G181">
        <v>0</v>
      </c>
      <c r="I181" s="12"/>
      <c r="J181" s="8"/>
      <c r="K181" s="13"/>
    </row>
    <row r="182" spans="1:11" x14ac:dyDescent="0.25">
      <c r="A182" s="3"/>
      <c r="B182" s="3" t="s">
        <v>269</v>
      </c>
      <c r="C182" s="3" t="s">
        <v>269</v>
      </c>
      <c r="D182" s="3">
        <v>1000</v>
      </c>
      <c r="E182" s="4"/>
      <c r="F182" s="5"/>
      <c r="G182" s="3"/>
      <c r="I182" s="7"/>
      <c r="J182" s="8"/>
      <c r="K182" s="9"/>
    </row>
    <row r="183" spans="1:11" x14ac:dyDescent="0.25">
      <c r="B183" t="s">
        <v>269</v>
      </c>
      <c r="C183" t="s">
        <v>269</v>
      </c>
      <c r="D183">
        <v>1000</v>
      </c>
      <c r="I183" s="12"/>
      <c r="J183" s="8"/>
      <c r="K183" s="13"/>
    </row>
    <row r="184" spans="1:11" x14ac:dyDescent="0.25">
      <c r="A184" s="3"/>
      <c r="B184" s="3" t="s">
        <v>269</v>
      </c>
      <c r="C184" s="3" t="s">
        <v>269</v>
      </c>
      <c r="D184" s="3">
        <v>1000</v>
      </c>
      <c r="E184" s="4"/>
      <c r="F184" s="5"/>
      <c r="G184" s="3"/>
      <c r="I184" s="7"/>
      <c r="J184" s="8"/>
      <c r="K184" s="9"/>
    </row>
    <row r="185" spans="1:11" x14ac:dyDescent="0.25">
      <c r="B185" t="s">
        <v>269</v>
      </c>
      <c r="C185" t="s">
        <v>269</v>
      </c>
      <c r="D185">
        <v>1000</v>
      </c>
      <c r="I185" s="12"/>
      <c r="J185" s="8"/>
      <c r="K185" s="13"/>
    </row>
    <row r="186" spans="1:11" x14ac:dyDescent="0.25">
      <c r="A186" s="3"/>
      <c r="B186" s="3" t="s">
        <v>269</v>
      </c>
      <c r="C186" s="3" t="s">
        <v>269</v>
      </c>
      <c r="D186" s="3">
        <v>500</v>
      </c>
      <c r="E186" s="4"/>
      <c r="F186" s="5"/>
      <c r="G186" s="3"/>
      <c r="I186" s="7"/>
      <c r="J186" s="8"/>
      <c r="K186" s="9"/>
    </row>
    <row r="187" spans="1:11" x14ac:dyDescent="0.25">
      <c r="B187" t="s">
        <v>270</v>
      </c>
      <c r="C187" t="s">
        <v>270</v>
      </c>
      <c r="G187">
        <v>0</v>
      </c>
      <c r="I187" s="12"/>
      <c r="J187" s="8"/>
      <c r="K187" s="13"/>
    </row>
    <row r="188" spans="1:11" x14ac:dyDescent="0.25">
      <c r="A188" s="3"/>
      <c r="B188" s="3" t="s">
        <v>270</v>
      </c>
      <c r="C188" s="3" t="s">
        <v>270</v>
      </c>
      <c r="D188" s="3"/>
      <c r="E188" s="4"/>
      <c r="F188" s="5"/>
      <c r="G188" s="3">
        <v>0</v>
      </c>
      <c r="I188" s="7"/>
      <c r="J188" s="8"/>
      <c r="K188" s="9"/>
    </row>
    <row r="189" spans="1:11" x14ac:dyDescent="0.25">
      <c r="B189" t="s">
        <v>271</v>
      </c>
      <c r="C189" t="s">
        <v>271</v>
      </c>
      <c r="I189" s="12"/>
      <c r="J189" s="8"/>
      <c r="K189" s="13"/>
    </row>
    <row r="190" spans="1:11" x14ac:dyDescent="0.25">
      <c r="A190" s="3"/>
      <c r="B190" s="3" t="s">
        <v>271</v>
      </c>
      <c r="C190" s="3" t="s">
        <v>271</v>
      </c>
      <c r="D190" s="3"/>
      <c r="E190" s="4"/>
      <c r="F190" s="5"/>
      <c r="G190" s="3"/>
      <c r="I190" s="7"/>
      <c r="J190" s="8"/>
      <c r="K190" s="9"/>
    </row>
    <row r="191" spans="1:11" x14ac:dyDescent="0.25">
      <c r="B191" t="s">
        <v>271</v>
      </c>
      <c r="C191" t="s">
        <v>271</v>
      </c>
      <c r="I191" s="12"/>
      <c r="J191" s="8"/>
      <c r="K191" s="13"/>
    </row>
    <row r="192" spans="1:11" x14ac:dyDescent="0.25">
      <c r="A192" s="3"/>
      <c r="B192" s="3" t="s">
        <v>271</v>
      </c>
      <c r="C192" s="3" t="s">
        <v>271</v>
      </c>
      <c r="D192" s="3"/>
      <c r="E192" s="4"/>
      <c r="F192" s="5"/>
      <c r="G192" s="3">
        <v>0</v>
      </c>
      <c r="I192" s="7"/>
      <c r="J192" s="8"/>
      <c r="K192" s="9"/>
    </row>
    <row r="193" spans="1:11" x14ac:dyDescent="0.25">
      <c r="B193" t="s">
        <v>272</v>
      </c>
      <c r="C193" t="s">
        <v>272</v>
      </c>
      <c r="G193">
        <v>0</v>
      </c>
      <c r="I193" s="12"/>
      <c r="J193" s="8"/>
      <c r="K193" s="13"/>
    </row>
    <row r="194" spans="1:11" x14ac:dyDescent="0.25">
      <c r="A194" s="3"/>
      <c r="B194" s="3" t="s">
        <v>273</v>
      </c>
      <c r="C194" s="3" t="s">
        <v>273</v>
      </c>
      <c r="D194" s="3"/>
      <c r="E194" s="4"/>
      <c r="F194" s="5"/>
      <c r="G194" s="3">
        <v>0</v>
      </c>
      <c r="I194" s="7"/>
      <c r="J194" s="8"/>
      <c r="K194" s="9"/>
    </row>
    <row r="195" spans="1:11" x14ac:dyDescent="0.25">
      <c r="A195" t="str">
        <f>"08137005635"</f>
        <v>08137005635</v>
      </c>
      <c r="B195" t="s">
        <v>274</v>
      </c>
      <c r="C195" t="s">
        <v>275</v>
      </c>
      <c r="D195">
        <v>60</v>
      </c>
      <c r="G195">
        <v>60</v>
      </c>
      <c r="I195" s="12"/>
      <c r="J195" s="8"/>
      <c r="K195" s="13"/>
    </row>
    <row r="196" spans="1:11" x14ac:dyDescent="0.25">
      <c r="A196" s="3" t="str">
        <f>"00904517416"</f>
        <v>00904517416</v>
      </c>
      <c r="B196" s="3" t="s">
        <v>276</v>
      </c>
      <c r="C196" s="3" t="s">
        <v>277</v>
      </c>
      <c r="D196" s="3">
        <v>16</v>
      </c>
      <c r="E196" s="4"/>
      <c r="F196" s="5"/>
      <c r="G196" s="3">
        <v>473</v>
      </c>
      <c r="I196" s="7"/>
      <c r="J196" s="8"/>
      <c r="K196" s="9"/>
    </row>
    <row r="197" spans="1:11" x14ac:dyDescent="0.25">
      <c r="A197" t="str">
        <f>"00003161212"</f>
        <v>00003161212</v>
      </c>
      <c r="B197" t="s">
        <v>278</v>
      </c>
      <c r="C197" t="s">
        <v>279</v>
      </c>
      <c r="D197">
        <v>30</v>
      </c>
      <c r="E197" s="10" t="s">
        <v>11</v>
      </c>
      <c r="F197" s="11">
        <v>1</v>
      </c>
      <c r="G197">
        <v>30</v>
      </c>
      <c r="I197" s="12"/>
      <c r="J197" s="8"/>
      <c r="K197" s="13"/>
    </row>
    <row r="198" spans="1:11" x14ac:dyDescent="0.25">
      <c r="A198" s="3" t="str">
        <f>"10119000252"</f>
        <v>10119000252</v>
      </c>
      <c r="B198" s="3" t="s">
        <v>280</v>
      </c>
      <c r="C198" s="3" t="s">
        <v>281</v>
      </c>
      <c r="D198" s="3">
        <v>4</v>
      </c>
      <c r="E198" s="4"/>
      <c r="F198" s="5"/>
      <c r="G198" s="3">
        <v>118</v>
      </c>
      <c r="I198" s="7"/>
      <c r="J198" s="8"/>
      <c r="K198" s="9"/>
    </row>
    <row r="199" spans="1:11" x14ac:dyDescent="0.25">
      <c r="A199" t="str">
        <f>"08290325772"</f>
        <v>08290325772</v>
      </c>
      <c r="B199" t="s">
        <v>282</v>
      </c>
      <c r="C199" t="s">
        <v>283</v>
      </c>
      <c r="D199">
        <v>200</v>
      </c>
      <c r="G199">
        <v>200</v>
      </c>
      <c r="I199" s="12"/>
      <c r="J199" s="8"/>
      <c r="K199" s="13"/>
    </row>
    <row r="200" spans="1:11" x14ac:dyDescent="0.25">
      <c r="A200" s="3" t="str">
        <f>"08290320119"</f>
        <v>08290320119</v>
      </c>
      <c r="B200" s="3" t="s">
        <v>284</v>
      </c>
      <c r="C200" s="3" t="s">
        <v>285</v>
      </c>
      <c r="D200" s="3">
        <v>100</v>
      </c>
      <c r="E200" s="4"/>
      <c r="F200" s="5"/>
      <c r="G200" s="3">
        <v>100</v>
      </c>
      <c r="I200" s="7"/>
      <c r="J200" s="8"/>
      <c r="K200" s="9"/>
    </row>
    <row r="201" spans="1:11" x14ac:dyDescent="0.25">
      <c r="A201" t="str">
        <f>"00501320001"</f>
        <v>00501320001</v>
      </c>
      <c r="B201" t="s">
        <v>286</v>
      </c>
      <c r="C201" t="s">
        <v>287</v>
      </c>
      <c r="D201">
        <v>1</v>
      </c>
      <c r="G201">
        <v>28.3</v>
      </c>
      <c r="I201" s="12"/>
      <c r="J201" s="8"/>
      <c r="K201" s="13"/>
    </row>
    <row r="202" spans="1:11" x14ac:dyDescent="0.25">
      <c r="A202" s="3" t="str">
        <f>"60687011501"</f>
        <v>60687011501</v>
      </c>
      <c r="B202" s="3" t="s">
        <v>288</v>
      </c>
      <c r="C202" s="3" t="s">
        <v>289</v>
      </c>
      <c r="D202" s="3">
        <v>100</v>
      </c>
      <c r="E202" s="4" t="s">
        <v>11</v>
      </c>
      <c r="F202" s="5">
        <v>100</v>
      </c>
      <c r="G202" s="3">
        <v>100</v>
      </c>
      <c r="I202" s="7"/>
      <c r="J202" s="8"/>
      <c r="K202" s="9"/>
    </row>
    <row r="203" spans="1:11" x14ac:dyDescent="0.25">
      <c r="A203" t="str">
        <f>"69387011905"</f>
        <v>69387011905</v>
      </c>
      <c r="B203" t="s">
        <v>288</v>
      </c>
      <c r="C203" t="s">
        <v>290</v>
      </c>
      <c r="D203">
        <v>500</v>
      </c>
      <c r="E203" s="10" t="s">
        <v>11</v>
      </c>
      <c r="F203" s="11">
        <v>100</v>
      </c>
      <c r="G203">
        <v>500</v>
      </c>
      <c r="I203" s="12"/>
      <c r="J203" s="8"/>
      <c r="K203" s="13"/>
    </row>
    <row r="204" spans="1:11" x14ac:dyDescent="0.25">
      <c r="A204" s="3" t="str">
        <f>"69452014330"</f>
        <v>69452014330</v>
      </c>
      <c r="B204" s="3" t="s">
        <v>288</v>
      </c>
      <c r="C204" s="3" t="s">
        <v>290</v>
      </c>
      <c r="D204" s="3">
        <v>500</v>
      </c>
      <c r="E204" s="4" t="s">
        <v>11</v>
      </c>
      <c r="F204" s="5">
        <v>100</v>
      </c>
      <c r="G204" s="3">
        <v>500</v>
      </c>
      <c r="I204" s="7"/>
      <c r="J204" s="8"/>
      <c r="K204" s="9"/>
    </row>
    <row r="205" spans="1:11" x14ac:dyDescent="0.25">
      <c r="A205" t="str">
        <f>"00536105875"</f>
        <v>00536105875</v>
      </c>
      <c r="B205" t="s">
        <v>291</v>
      </c>
      <c r="C205" t="s">
        <v>292</v>
      </c>
      <c r="D205">
        <v>29.5</v>
      </c>
      <c r="E205" s="10" t="s">
        <v>36</v>
      </c>
      <c r="F205" s="11">
        <v>0.1</v>
      </c>
      <c r="G205">
        <v>29.5</v>
      </c>
      <c r="I205" s="12"/>
      <c r="J205" s="8"/>
      <c r="K205" s="13"/>
    </row>
    <row r="206" spans="1:11" x14ac:dyDescent="0.25">
      <c r="A206" s="3" t="str">
        <f>"00536105656"</f>
        <v>00536105656</v>
      </c>
      <c r="B206" s="3" t="s">
        <v>291</v>
      </c>
      <c r="C206" s="3" t="s">
        <v>293</v>
      </c>
      <c r="D206" s="3">
        <v>42.5</v>
      </c>
      <c r="E206" s="4" t="s">
        <v>48</v>
      </c>
      <c r="F206" s="5">
        <v>0.1</v>
      </c>
      <c r="G206" s="3">
        <v>42.5</v>
      </c>
      <c r="I206" s="7"/>
      <c r="J206" s="8"/>
      <c r="K206" s="9"/>
    </row>
    <row r="207" spans="1:11" x14ac:dyDescent="0.25">
      <c r="A207" t="str">
        <f>"24470090105"</f>
        <v>24470090105</v>
      </c>
      <c r="B207" t="s">
        <v>291</v>
      </c>
      <c r="C207" t="s">
        <v>294</v>
      </c>
      <c r="D207">
        <v>5</v>
      </c>
      <c r="E207" s="10" t="s">
        <v>36</v>
      </c>
      <c r="F207" s="11">
        <v>0.1</v>
      </c>
      <c r="G207">
        <v>142</v>
      </c>
      <c r="I207" s="12"/>
      <c r="J207" s="8"/>
      <c r="K207" s="13"/>
    </row>
    <row r="208" spans="1:11" x14ac:dyDescent="0.25">
      <c r="A208" s="3" t="str">
        <f>"67405083008"</f>
        <v>67405083008</v>
      </c>
      <c r="B208" s="3" t="s">
        <v>291</v>
      </c>
      <c r="C208" s="3" t="s">
        <v>295</v>
      </c>
      <c r="D208" s="3">
        <v>8</v>
      </c>
      <c r="E208" s="4"/>
      <c r="F208" s="5">
        <v>0.1</v>
      </c>
      <c r="G208" s="3">
        <v>237</v>
      </c>
      <c r="I208" s="7"/>
      <c r="J208" s="8"/>
      <c r="K208" s="9"/>
    </row>
    <row r="209" spans="1:11" x14ac:dyDescent="0.25">
      <c r="A209" t="str">
        <f>"00536105775"</f>
        <v>00536105775</v>
      </c>
      <c r="B209" t="s">
        <v>291</v>
      </c>
      <c r="C209" t="s">
        <v>296</v>
      </c>
      <c r="D209">
        <v>29.5</v>
      </c>
      <c r="E209" s="10" t="s">
        <v>36</v>
      </c>
      <c r="F209" s="11">
        <v>0.05</v>
      </c>
      <c r="G209">
        <v>29.5</v>
      </c>
      <c r="I209" s="12"/>
      <c r="J209" s="8"/>
      <c r="K209" s="13"/>
    </row>
    <row r="210" spans="1:11" x14ac:dyDescent="0.25">
      <c r="A210" s="3" t="str">
        <f>"67405082505"</f>
        <v>67405082505</v>
      </c>
      <c r="B210" s="3" t="s">
        <v>291</v>
      </c>
      <c r="C210" s="3" t="s">
        <v>297</v>
      </c>
      <c r="D210" s="3">
        <v>5</v>
      </c>
      <c r="E210" s="4"/>
      <c r="F210" s="5">
        <v>0.05</v>
      </c>
      <c r="G210" s="3">
        <v>148</v>
      </c>
      <c r="I210" s="7"/>
      <c r="J210" s="8"/>
      <c r="K210" s="9"/>
    </row>
    <row r="211" spans="1:11" x14ac:dyDescent="0.25">
      <c r="A211" t="str">
        <f>"67405082508"</f>
        <v>67405082508</v>
      </c>
      <c r="B211" t="s">
        <v>291</v>
      </c>
      <c r="C211" t="s">
        <v>298</v>
      </c>
      <c r="D211">
        <v>8</v>
      </c>
      <c r="F211" s="11">
        <v>0.05</v>
      </c>
      <c r="G211">
        <v>237</v>
      </c>
      <c r="I211" s="12"/>
      <c r="J211" s="8"/>
      <c r="K211" s="13"/>
    </row>
    <row r="212" spans="1:11" x14ac:dyDescent="0.25">
      <c r="A212" s="3" t="str">
        <f>"54162001902"</f>
        <v>54162001902</v>
      </c>
      <c r="B212" s="3" t="s">
        <v>291</v>
      </c>
      <c r="C212" s="3" t="s">
        <v>299</v>
      </c>
      <c r="D212" s="3">
        <v>672</v>
      </c>
      <c r="E212" s="4"/>
      <c r="F212" s="5">
        <v>0.1</v>
      </c>
      <c r="G212" s="3">
        <v>56</v>
      </c>
      <c r="I212" s="7"/>
      <c r="J212" s="8"/>
      <c r="K212" s="9"/>
    </row>
    <row r="213" spans="1:11" x14ac:dyDescent="0.25">
      <c r="A213" t="str">
        <f>"00143972905"</f>
        <v>00143972905</v>
      </c>
      <c r="B213" t="s">
        <v>300</v>
      </c>
      <c r="C213" t="s">
        <v>301</v>
      </c>
      <c r="D213">
        <v>10</v>
      </c>
      <c r="E213" s="10" t="s">
        <v>20</v>
      </c>
      <c r="F213" s="11">
        <v>1</v>
      </c>
      <c r="G213">
        <v>2</v>
      </c>
      <c r="I213" s="12"/>
      <c r="J213" s="8"/>
      <c r="K213" s="13"/>
    </row>
    <row r="214" spans="1:11" x14ac:dyDescent="0.25">
      <c r="A214" s="3" t="str">
        <f>"00603243321"</f>
        <v>00603243321</v>
      </c>
      <c r="B214" s="3" t="s">
        <v>300</v>
      </c>
      <c r="C214" s="3" t="s">
        <v>302</v>
      </c>
      <c r="D214" s="3">
        <v>100</v>
      </c>
      <c r="E214" s="4" t="s">
        <v>11</v>
      </c>
      <c r="F214" s="5">
        <v>0.5</v>
      </c>
      <c r="G214" s="3">
        <v>100</v>
      </c>
      <c r="I214" s="7"/>
      <c r="J214" s="8"/>
      <c r="K214" s="9"/>
    </row>
    <row r="215" spans="1:11" x14ac:dyDescent="0.25">
      <c r="A215" t="str">
        <f>"00603243421"</f>
        <v>00603243421</v>
      </c>
      <c r="B215" t="s">
        <v>300</v>
      </c>
      <c r="C215" t="s">
        <v>303</v>
      </c>
      <c r="D215">
        <v>100</v>
      </c>
      <c r="E215" s="10" t="s">
        <v>11</v>
      </c>
      <c r="F215" s="11">
        <v>1</v>
      </c>
      <c r="G215">
        <v>100</v>
      </c>
      <c r="I215" s="12"/>
      <c r="J215" s="8"/>
      <c r="K215" s="13"/>
    </row>
    <row r="216" spans="1:11" x14ac:dyDescent="0.25">
      <c r="A216" s="3" t="str">
        <f>"68084038801"</f>
        <v>68084038801</v>
      </c>
      <c r="B216" s="3" t="s">
        <v>300</v>
      </c>
      <c r="C216" s="3" t="s">
        <v>304</v>
      </c>
      <c r="D216" s="3">
        <v>100</v>
      </c>
      <c r="E216" s="4" t="s">
        <v>11</v>
      </c>
      <c r="F216" s="5">
        <v>1</v>
      </c>
      <c r="G216" s="3">
        <v>100</v>
      </c>
      <c r="I216" s="7"/>
      <c r="J216" s="8"/>
      <c r="K216" s="9"/>
    </row>
    <row r="217" spans="1:11" x14ac:dyDescent="0.25">
      <c r="A217" t="str">
        <f>"00603243432"</f>
        <v>00603243432</v>
      </c>
      <c r="B217" t="s">
        <v>300</v>
      </c>
      <c r="C217" t="s">
        <v>305</v>
      </c>
      <c r="D217">
        <v>1000</v>
      </c>
      <c r="E217" s="10" t="s">
        <v>11</v>
      </c>
      <c r="F217" s="11">
        <v>1</v>
      </c>
      <c r="G217">
        <v>1000</v>
      </c>
      <c r="I217" s="12"/>
      <c r="J217" s="8"/>
      <c r="K217" s="13"/>
    </row>
    <row r="218" spans="1:11" x14ac:dyDescent="0.25">
      <c r="A218" s="3" t="str">
        <f>"00832108110"</f>
        <v>00832108110</v>
      </c>
      <c r="B218" s="3" t="s">
        <v>300</v>
      </c>
      <c r="C218" s="3" t="s">
        <v>305</v>
      </c>
      <c r="D218" s="3">
        <v>1000</v>
      </c>
      <c r="E218" s="4" t="s">
        <v>11</v>
      </c>
      <c r="F218" s="5">
        <v>1</v>
      </c>
      <c r="G218" s="3">
        <v>1000</v>
      </c>
      <c r="I218" s="7"/>
      <c r="J218" s="8"/>
      <c r="K218" s="9"/>
    </row>
    <row r="219" spans="1:11" x14ac:dyDescent="0.25">
      <c r="A219" t="str">
        <f>"00603243521"</f>
        <v>00603243521</v>
      </c>
      <c r="B219" t="s">
        <v>300</v>
      </c>
      <c r="C219" t="s">
        <v>306</v>
      </c>
      <c r="D219">
        <v>100</v>
      </c>
      <c r="E219" s="10" t="s">
        <v>11</v>
      </c>
      <c r="F219" s="11">
        <v>2</v>
      </c>
      <c r="G219">
        <v>100</v>
      </c>
      <c r="I219" s="12"/>
      <c r="J219" s="8"/>
      <c r="K219" s="13"/>
    </row>
    <row r="220" spans="1:11" x14ac:dyDescent="0.25">
      <c r="A220" s="3" t="str">
        <f>"68084038901"</f>
        <v>68084038901</v>
      </c>
      <c r="B220" s="3" t="s">
        <v>300</v>
      </c>
      <c r="C220" s="3" t="s">
        <v>307</v>
      </c>
      <c r="D220" s="3">
        <v>100</v>
      </c>
      <c r="E220" s="4" t="s">
        <v>11</v>
      </c>
      <c r="F220" s="5">
        <v>2</v>
      </c>
      <c r="G220" s="3">
        <v>100</v>
      </c>
      <c r="I220" s="7"/>
      <c r="J220" s="8"/>
      <c r="K220" s="9"/>
    </row>
    <row r="221" spans="1:11" x14ac:dyDescent="0.25">
      <c r="A221" t="str">
        <f>"00603243532"</f>
        <v>00603243532</v>
      </c>
      <c r="B221" t="s">
        <v>300</v>
      </c>
      <c r="C221" t="s">
        <v>308</v>
      </c>
      <c r="D221">
        <v>1000</v>
      </c>
      <c r="E221" s="10" t="s">
        <v>11</v>
      </c>
      <c r="F221" s="11">
        <v>2</v>
      </c>
      <c r="G221">
        <v>1000</v>
      </c>
      <c r="I221" s="12"/>
      <c r="J221" s="8"/>
      <c r="K221" s="13"/>
    </row>
    <row r="222" spans="1:11" x14ac:dyDescent="0.25">
      <c r="A222" s="3" t="str">
        <f>"68084038101"</f>
        <v>68084038101</v>
      </c>
      <c r="B222" s="3" t="s">
        <v>300</v>
      </c>
      <c r="C222" s="3" t="s">
        <v>309</v>
      </c>
      <c r="D222" s="3">
        <v>100</v>
      </c>
      <c r="E222" s="4" t="s">
        <v>11</v>
      </c>
      <c r="F222" s="5">
        <v>0.5</v>
      </c>
      <c r="G222" s="3">
        <v>100</v>
      </c>
      <c r="I222" s="7"/>
      <c r="J222" s="8"/>
      <c r="K222" s="9"/>
    </row>
    <row r="223" spans="1:11" x14ac:dyDescent="0.25">
      <c r="A223" t="str">
        <f>"00168005546"</f>
        <v>00168005546</v>
      </c>
      <c r="B223" t="s">
        <v>310</v>
      </c>
      <c r="C223" t="s">
        <v>311</v>
      </c>
      <c r="D223">
        <v>45</v>
      </c>
      <c r="E223" s="10" t="s">
        <v>48</v>
      </c>
      <c r="F223" s="11">
        <v>5.0000000000000001E-4</v>
      </c>
      <c r="G223">
        <v>45</v>
      </c>
      <c r="I223" s="12"/>
      <c r="J223" s="8"/>
      <c r="K223" s="13"/>
    </row>
    <row r="224" spans="1:11" x14ac:dyDescent="0.25">
      <c r="A224" s="3" t="str">
        <f>"00472037015"</f>
        <v>00472037015</v>
      </c>
      <c r="B224" s="3" t="s">
        <v>312</v>
      </c>
      <c r="C224" s="3" t="s">
        <v>313</v>
      </c>
      <c r="D224" s="3">
        <v>15</v>
      </c>
      <c r="E224" s="4" t="s">
        <v>48</v>
      </c>
      <c r="F224" s="5">
        <v>1E-3</v>
      </c>
      <c r="G224" s="3">
        <v>15</v>
      </c>
      <c r="I224" s="7"/>
      <c r="J224" s="8"/>
      <c r="K224" s="9"/>
    </row>
    <row r="225" spans="1:11" x14ac:dyDescent="0.25">
      <c r="A225" t="str">
        <f>"00168004015"</f>
        <v>00168004015</v>
      </c>
      <c r="B225" t="s">
        <v>312</v>
      </c>
      <c r="C225" t="s">
        <v>313</v>
      </c>
      <c r="D225">
        <v>15</v>
      </c>
      <c r="E225" s="10" t="s">
        <v>48</v>
      </c>
      <c r="F225" s="11">
        <v>1E-3</v>
      </c>
      <c r="G225">
        <v>15</v>
      </c>
      <c r="I225" s="12"/>
      <c r="J225" s="8"/>
      <c r="K225" s="13"/>
    </row>
    <row r="226" spans="1:11" x14ac:dyDescent="0.25">
      <c r="A226" s="3" t="str">
        <f>"00168004046"</f>
        <v>00168004046</v>
      </c>
      <c r="B226" s="3" t="s">
        <v>312</v>
      </c>
      <c r="C226" s="3" t="s">
        <v>314</v>
      </c>
      <c r="D226" s="3">
        <v>45</v>
      </c>
      <c r="E226" s="4" t="s">
        <v>48</v>
      </c>
      <c r="F226" s="5">
        <v>1E-3</v>
      </c>
      <c r="G226" s="3">
        <v>45</v>
      </c>
      <c r="I226" s="7"/>
      <c r="J226" s="8"/>
      <c r="K226" s="9"/>
    </row>
    <row r="227" spans="1:11" x14ac:dyDescent="0.25">
      <c r="A227" t="str">
        <f>"00472037045"</f>
        <v>00472037045</v>
      </c>
      <c r="B227" t="s">
        <v>312</v>
      </c>
      <c r="C227" t="s">
        <v>314</v>
      </c>
      <c r="D227">
        <v>45</v>
      </c>
      <c r="E227" s="10" t="s">
        <v>48</v>
      </c>
      <c r="F227" s="11">
        <v>1E-3</v>
      </c>
      <c r="G227">
        <v>45</v>
      </c>
      <c r="I227" s="12"/>
      <c r="J227" s="8"/>
      <c r="K227" s="13"/>
    </row>
    <row r="228" spans="1:11" x14ac:dyDescent="0.25">
      <c r="A228" s="3" t="str">
        <f>"00472037115"</f>
        <v>00472037115</v>
      </c>
      <c r="B228" s="3" t="s">
        <v>312</v>
      </c>
      <c r="C228" s="3" t="s">
        <v>315</v>
      </c>
      <c r="D228" s="3">
        <v>15</v>
      </c>
      <c r="E228" s="4" t="s">
        <v>48</v>
      </c>
      <c r="F228" s="5">
        <v>1E-3</v>
      </c>
      <c r="G228" s="3">
        <v>15</v>
      </c>
      <c r="I228" s="7"/>
      <c r="J228" s="8"/>
      <c r="K228" s="9"/>
    </row>
    <row r="229" spans="1:11" x14ac:dyDescent="0.25">
      <c r="A229" t="str">
        <f>"00472037145"</f>
        <v>00472037145</v>
      </c>
      <c r="B229" t="s">
        <v>312</v>
      </c>
      <c r="C229" t="s">
        <v>316</v>
      </c>
      <c r="D229">
        <v>45</v>
      </c>
      <c r="E229" s="10" t="s">
        <v>48</v>
      </c>
      <c r="F229" s="11">
        <v>1E-3</v>
      </c>
      <c r="G229">
        <v>45</v>
      </c>
      <c r="I229" s="12"/>
      <c r="J229" s="8"/>
      <c r="K229" s="13"/>
    </row>
    <row r="230" spans="1:11" x14ac:dyDescent="0.25">
      <c r="A230" s="3" t="str">
        <f>"00378695501"</f>
        <v>00378695501</v>
      </c>
      <c r="B230" s="3" t="s">
        <v>317</v>
      </c>
      <c r="C230" s="3" t="s">
        <v>318</v>
      </c>
      <c r="D230" s="3">
        <v>100</v>
      </c>
      <c r="E230" s="4" t="s">
        <v>11</v>
      </c>
      <c r="F230" s="5">
        <v>75</v>
      </c>
      <c r="G230" s="3">
        <v>100</v>
      </c>
      <c r="I230" s="7"/>
      <c r="J230" s="8"/>
      <c r="K230" s="9"/>
    </row>
    <row r="231" spans="1:11" x14ac:dyDescent="0.25">
      <c r="A231" t="str">
        <f>"00093022056"</f>
        <v>00093022056</v>
      </c>
      <c r="B231" t="s">
        <v>319</v>
      </c>
      <c r="C231" t="s">
        <v>320</v>
      </c>
      <c r="D231">
        <v>30</v>
      </c>
      <c r="E231" s="10" t="s">
        <v>11</v>
      </c>
      <c r="F231" s="11">
        <v>50</v>
      </c>
      <c r="G231">
        <v>30</v>
      </c>
      <c r="I231" s="12"/>
      <c r="J231" s="8"/>
      <c r="K231" s="13"/>
    </row>
    <row r="232" spans="1:11" x14ac:dyDescent="0.25">
      <c r="A232" s="3" t="str">
        <f>"60793070210"</f>
        <v>60793070210</v>
      </c>
      <c r="B232" s="3" t="s">
        <v>321</v>
      </c>
      <c r="C232" s="3" t="s">
        <v>322</v>
      </c>
      <c r="D232" s="3">
        <v>40</v>
      </c>
      <c r="E232" s="4" t="s">
        <v>323</v>
      </c>
      <c r="F232" s="5">
        <v>2400</v>
      </c>
      <c r="G232" s="3">
        <v>4</v>
      </c>
      <c r="I232" s="7"/>
      <c r="J232" s="8"/>
      <c r="K232" s="9"/>
    </row>
    <row r="233" spans="1:11" x14ac:dyDescent="0.25">
      <c r="A233" t="str">
        <f>"68180042901"</f>
        <v>68180042901</v>
      </c>
      <c r="B233" t="s">
        <v>324</v>
      </c>
      <c r="C233" t="s">
        <v>325</v>
      </c>
      <c r="D233">
        <v>2.5</v>
      </c>
      <c r="E233" s="10" t="s">
        <v>36</v>
      </c>
      <c r="F233" s="11">
        <v>2.9999999999999997E-4</v>
      </c>
      <c r="G233">
        <v>2.5</v>
      </c>
      <c r="I233" s="12"/>
      <c r="J233" s="8"/>
      <c r="K233" s="13"/>
    </row>
    <row r="234" spans="1:11" x14ac:dyDescent="0.25">
      <c r="A234" s="3" t="str">
        <f>"48582000330"</f>
        <v>48582000330</v>
      </c>
      <c r="B234" s="3" t="s">
        <v>326</v>
      </c>
      <c r="C234" s="3" t="s">
        <v>327</v>
      </c>
      <c r="D234" s="3">
        <v>16</v>
      </c>
      <c r="E234" s="4"/>
      <c r="F234" s="5"/>
      <c r="G234" s="3">
        <v>473</v>
      </c>
      <c r="I234" s="7"/>
      <c r="J234" s="8"/>
      <c r="K234" s="9"/>
    </row>
    <row r="235" spans="1:11" x14ac:dyDescent="0.25">
      <c r="A235" t="str">
        <f>"00713010950"</f>
        <v>00713010950</v>
      </c>
      <c r="B235" t="s">
        <v>328</v>
      </c>
      <c r="C235" t="s">
        <v>329</v>
      </c>
      <c r="D235">
        <v>50</v>
      </c>
      <c r="E235" s="10" t="s">
        <v>11</v>
      </c>
      <c r="F235" s="11">
        <v>10</v>
      </c>
      <c r="G235">
        <v>50</v>
      </c>
      <c r="I235" s="12"/>
      <c r="J235" s="8"/>
      <c r="K235" s="13"/>
    </row>
    <row r="236" spans="1:11" x14ac:dyDescent="0.25">
      <c r="A236" s="3" t="str">
        <f>"00904640761"</f>
        <v>00904640761</v>
      </c>
      <c r="B236" s="3" t="s">
        <v>328</v>
      </c>
      <c r="C236" s="3" t="s">
        <v>330</v>
      </c>
      <c r="D236" s="3">
        <v>100</v>
      </c>
      <c r="E236" s="4" t="s">
        <v>331</v>
      </c>
      <c r="F236" s="5">
        <v>5</v>
      </c>
      <c r="G236" s="3">
        <v>100</v>
      </c>
      <c r="I236" s="7"/>
      <c r="J236" s="8"/>
      <c r="K236" s="9"/>
    </row>
    <row r="237" spans="1:11" x14ac:dyDescent="0.25">
      <c r="A237" t="str">
        <f>"00904792760"</f>
        <v>00904792760</v>
      </c>
      <c r="B237" t="s">
        <v>328</v>
      </c>
      <c r="C237" t="s">
        <v>332</v>
      </c>
      <c r="D237">
        <v>100</v>
      </c>
      <c r="E237" s="10" t="s">
        <v>11</v>
      </c>
      <c r="F237" s="11">
        <v>5</v>
      </c>
      <c r="G237">
        <v>100</v>
      </c>
      <c r="I237" s="12"/>
      <c r="J237" s="8"/>
      <c r="K237" s="13"/>
    </row>
    <row r="238" spans="1:11" x14ac:dyDescent="0.25">
      <c r="A238" s="3" t="str">
        <f>"00904792717"</f>
        <v>00904792717</v>
      </c>
      <c r="B238" s="3" t="s">
        <v>328</v>
      </c>
      <c r="C238" s="3" t="s">
        <v>333</v>
      </c>
      <c r="D238" s="3">
        <v>25</v>
      </c>
      <c r="E238" s="4" t="s">
        <v>11</v>
      </c>
      <c r="F238" s="5">
        <v>5</v>
      </c>
      <c r="G238" s="3">
        <v>25</v>
      </c>
      <c r="I238" s="7"/>
      <c r="J238" s="8"/>
      <c r="K238" s="9"/>
    </row>
    <row r="239" spans="1:11" x14ac:dyDescent="0.25">
      <c r="A239" t="str">
        <f>"00904131546"</f>
        <v>00904131546</v>
      </c>
      <c r="B239" t="s">
        <v>334</v>
      </c>
      <c r="C239" t="s">
        <v>335</v>
      </c>
      <c r="D239">
        <v>30</v>
      </c>
      <c r="G239">
        <v>30</v>
      </c>
      <c r="I239" s="12"/>
      <c r="J239" s="8"/>
      <c r="K239" s="13"/>
    </row>
    <row r="240" spans="1:11" x14ac:dyDescent="0.25">
      <c r="A240" s="3" t="str">
        <f>"00395030312"</f>
        <v>00395030312</v>
      </c>
      <c r="B240" s="3" t="s">
        <v>336</v>
      </c>
      <c r="C240" s="3" t="s">
        <v>337</v>
      </c>
      <c r="D240" s="3">
        <v>12</v>
      </c>
      <c r="E240" s="4"/>
      <c r="F240" s="5"/>
      <c r="G240" s="3">
        <v>340</v>
      </c>
      <c r="I240" s="7"/>
      <c r="J240" s="8"/>
      <c r="K240" s="9"/>
    </row>
    <row r="241" spans="1:11" x14ac:dyDescent="0.25">
      <c r="A241" t="str">
        <f>"10119005609"</f>
        <v>10119005609</v>
      </c>
      <c r="B241" t="s">
        <v>338</v>
      </c>
      <c r="C241" t="s">
        <v>339</v>
      </c>
      <c r="D241">
        <v>3.5</v>
      </c>
      <c r="G241">
        <v>105</v>
      </c>
      <c r="I241" s="12"/>
      <c r="J241" s="8"/>
      <c r="K241" s="13"/>
    </row>
    <row r="242" spans="1:11" x14ac:dyDescent="0.25">
      <c r="A242" s="3"/>
      <c r="B242" s="3"/>
      <c r="C242" s="3" t="s">
        <v>340</v>
      </c>
      <c r="D242" s="3">
        <v>1</v>
      </c>
      <c r="E242" s="4"/>
      <c r="F242" s="5"/>
      <c r="G242" s="3">
        <v>0</v>
      </c>
      <c r="I242" s="7"/>
      <c r="J242" s="8"/>
      <c r="K242" s="9"/>
    </row>
    <row r="243" spans="1:11" x14ac:dyDescent="0.25">
      <c r="A243" t="str">
        <f>"47144005509"</f>
        <v>47144005509</v>
      </c>
      <c r="B243" t="s">
        <v>341</v>
      </c>
      <c r="C243" t="s">
        <v>342</v>
      </c>
      <c r="D243">
        <v>10</v>
      </c>
      <c r="E243" s="10" t="s">
        <v>36</v>
      </c>
      <c r="G243">
        <v>10</v>
      </c>
      <c r="I243" s="12"/>
      <c r="J243" s="8"/>
      <c r="K243" s="13"/>
    </row>
    <row r="244" spans="1:11" x14ac:dyDescent="0.25">
      <c r="A244" s="3" t="str">
        <f>"10119005611"</f>
        <v>10119005611</v>
      </c>
      <c r="B244" s="3" t="s">
        <v>338</v>
      </c>
      <c r="C244" s="3" t="s">
        <v>343</v>
      </c>
      <c r="D244" s="3">
        <v>3.5</v>
      </c>
      <c r="E244" s="4"/>
      <c r="F244" s="5"/>
      <c r="G244" s="3">
        <v>105</v>
      </c>
      <c r="I244" s="7"/>
      <c r="J244" s="8"/>
      <c r="K244" s="9"/>
    </row>
    <row r="245" spans="1:11" x14ac:dyDescent="0.25">
      <c r="A245" t="str">
        <f>"00173085910"</f>
        <v>00173085910</v>
      </c>
      <c r="B245" t="s">
        <v>344</v>
      </c>
      <c r="C245" t="s">
        <v>345</v>
      </c>
      <c r="D245">
        <v>60</v>
      </c>
      <c r="E245" s="10" t="s">
        <v>178</v>
      </c>
      <c r="F245" s="11" t="s">
        <v>346</v>
      </c>
      <c r="G245">
        <v>60</v>
      </c>
      <c r="I245" s="12"/>
      <c r="J245" s="8"/>
      <c r="K245" s="13"/>
    </row>
    <row r="246" spans="1:11" x14ac:dyDescent="0.25">
      <c r="A246" s="3" t="str">
        <f>"00173088210"</f>
        <v>00173088210</v>
      </c>
      <c r="B246" s="3" t="s">
        <v>344</v>
      </c>
      <c r="C246" s="3" t="s">
        <v>347</v>
      </c>
      <c r="D246" s="3">
        <v>60</v>
      </c>
      <c r="E246" s="4" t="s">
        <v>178</v>
      </c>
      <c r="F246" s="5" t="s">
        <v>348</v>
      </c>
      <c r="G246" s="3">
        <v>60</v>
      </c>
      <c r="I246" s="7"/>
      <c r="J246" s="8"/>
      <c r="K246" s="9"/>
    </row>
    <row r="247" spans="1:11" x14ac:dyDescent="0.25">
      <c r="A247" t="str">
        <f>"00186077660"</f>
        <v>00186077660</v>
      </c>
      <c r="B247" t="s">
        <v>349</v>
      </c>
      <c r="C247" t="s">
        <v>350</v>
      </c>
      <c r="D247">
        <v>60</v>
      </c>
      <c r="E247" s="10" t="s">
        <v>11</v>
      </c>
      <c r="F247" s="11">
        <v>60</v>
      </c>
      <c r="G247">
        <v>60</v>
      </c>
      <c r="I247" s="12"/>
      <c r="J247" s="8"/>
      <c r="K247" s="13"/>
    </row>
    <row r="248" spans="1:11" x14ac:dyDescent="0.25">
      <c r="A248" s="3" t="str">
        <f>"00186077760"</f>
        <v>00186077760</v>
      </c>
      <c r="B248" s="3" t="s">
        <v>349</v>
      </c>
      <c r="C248" s="3" t="s">
        <v>351</v>
      </c>
      <c r="D248" s="3">
        <v>60</v>
      </c>
      <c r="E248" s="4" t="s">
        <v>11</v>
      </c>
      <c r="F248" s="5">
        <v>90</v>
      </c>
      <c r="G248" s="3">
        <v>60</v>
      </c>
      <c r="I248" s="7"/>
      <c r="J248" s="8"/>
      <c r="K248" s="9"/>
    </row>
    <row r="249" spans="1:11" x14ac:dyDescent="0.25">
      <c r="A249" t="str">
        <f>"24208041110"</f>
        <v>24208041110</v>
      </c>
      <c r="B249" t="s">
        <v>352</v>
      </c>
      <c r="C249" t="s">
        <v>353</v>
      </c>
      <c r="D249">
        <v>10</v>
      </c>
      <c r="E249" s="10" t="s">
        <v>36</v>
      </c>
      <c r="F249" s="11">
        <v>2E-3</v>
      </c>
      <c r="G249">
        <v>10</v>
      </c>
      <c r="I249" s="12"/>
      <c r="J249" s="8"/>
      <c r="K249" s="13"/>
    </row>
    <row r="250" spans="1:11" x14ac:dyDescent="0.25">
      <c r="A250" s="3" t="str">
        <f>"24208041105"</f>
        <v>24208041105</v>
      </c>
      <c r="B250" s="3" t="s">
        <v>352</v>
      </c>
      <c r="C250" s="3" t="s">
        <v>354</v>
      </c>
      <c r="D250" s="3">
        <v>5</v>
      </c>
      <c r="E250" s="4" t="s">
        <v>36</v>
      </c>
      <c r="F250" s="5">
        <v>2E-3</v>
      </c>
      <c r="G250" s="3">
        <v>5</v>
      </c>
      <c r="I250" s="7"/>
      <c r="J250" s="8"/>
      <c r="K250" s="9"/>
    </row>
    <row r="251" spans="1:11" x14ac:dyDescent="0.25">
      <c r="A251" t="str">
        <f>"63402091130"</f>
        <v>63402091130</v>
      </c>
      <c r="B251" t="s">
        <v>355</v>
      </c>
      <c r="C251" t="s">
        <v>356</v>
      </c>
      <c r="D251">
        <v>30</v>
      </c>
      <c r="E251" s="10" t="s">
        <v>357</v>
      </c>
      <c r="F251" s="11" t="s">
        <v>358</v>
      </c>
      <c r="G251">
        <v>2</v>
      </c>
      <c r="I251" s="12"/>
      <c r="J251" s="8"/>
      <c r="K251" s="13"/>
    </row>
    <row r="252" spans="1:11" x14ac:dyDescent="0.25">
      <c r="A252" s="3" t="str">
        <f>"00378715501"</f>
        <v>00378715501</v>
      </c>
      <c r="B252" s="3" t="s">
        <v>359</v>
      </c>
      <c r="C252" s="3" t="s">
        <v>360</v>
      </c>
      <c r="D252" s="3">
        <v>100</v>
      </c>
      <c r="E252" s="4" t="s">
        <v>11</v>
      </c>
      <c r="F252" s="5">
        <v>3</v>
      </c>
      <c r="G252" s="3">
        <v>100</v>
      </c>
      <c r="I252" s="7"/>
      <c r="J252" s="8"/>
      <c r="K252" s="9"/>
    </row>
    <row r="253" spans="1:11" x14ac:dyDescent="0.25">
      <c r="A253" t="str">
        <f>"60505612902"</f>
        <v>60505612902</v>
      </c>
      <c r="B253" t="s">
        <v>359</v>
      </c>
      <c r="C253" t="s">
        <v>361</v>
      </c>
      <c r="D253">
        <v>8.43</v>
      </c>
      <c r="E253" s="10" t="s">
        <v>178</v>
      </c>
      <c r="F253" s="11">
        <v>32</v>
      </c>
      <c r="G253">
        <v>8.43</v>
      </c>
      <c r="I253" s="12"/>
      <c r="J253" s="8"/>
      <c r="K253" s="13"/>
    </row>
    <row r="254" spans="1:11" x14ac:dyDescent="0.25">
      <c r="A254" s="3" t="str">
        <f>"00591376830"</f>
        <v>00591376830</v>
      </c>
      <c r="B254" s="3" t="s">
        <v>359</v>
      </c>
      <c r="C254" s="3" t="s">
        <v>362</v>
      </c>
      <c r="D254" s="3">
        <v>60</v>
      </c>
      <c r="E254" s="4" t="s">
        <v>363</v>
      </c>
      <c r="F254" s="5">
        <v>0.5</v>
      </c>
      <c r="G254" s="3">
        <v>2</v>
      </c>
      <c r="I254" s="7"/>
      <c r="J254" s="8"/>
      <c r="K254" s="9"/>
    </row>
    <row r="255" spans="1:11" x14ac:dyDescent="0.25">
      <c r="A255" t="str">
        <f>"00641600710"</f>
        <v>00641600710</v>
      </c>
      <c r="B255" t="s">
        <v>364</v>
      </c>
      <c r="C255" t="s">
        <v>365</v>
      </c>
      <c r="D255">
        <v>100</v>
      </c>
      <c r="E255" s="10" t="s">
        <v>20</v>
      </c>
      <c r="F255" s="11">
        <v>0.25</v>
      </c>
      <c r="G255">
        <v>10</v>
      </c>
      <c r="I255" s="12"/>
      <c r="J255" s="8"/>
      <c r="K255" s="13"/>
    </row>
    <row r="256" spans="1:11" x14ac:dyDescent="0.25">
      <c r="A256" s="3" t="str">
        <f>"00641600810"</f>
        <v>00641600810</v>
      </c>
      <c r="B256" s="3" t="s">
        <v>364</v>
      </c>
      <c r="C256" s="3" t="s">
        <v>366</v>
      </c>
      <c r="D256" s="3">
        <v>40</v>
      </c>
      <c r="E256" s="4" t="s">
        <v>20</v>
      </c>
      <c r="F256" s="5">
        <v>0.25</v>
      </c>
      <c r="G256" s="3">
        <v>4</v>
      </c>
      <c r="I256" s="7"/>
      <c r="J256" s="8"/>
      <c r="K256" s="9"/>
    </row>
    <row r="257" spans="1:11" x14ac:dyDescent="0.25">
      <c r="A257" t="str">
        <f>"00185012901"</f>
        <v>00185012901</v>
      </c>
      <c r="B257" t="s">
        <v>364</v>
      </c>
      <c r="C257" t="s">
        <v>367</v>
      </c>
      <c r="D257">
        <v>100</v>
      </c>
      <c r="E257" s="10" t="s">
        <v>11</v>
      </c>
      <c r="F257" s="11">
        <v>1</v>
      </c>
      <c r="G257">
        <v>100</v>
      </c>
      <c r="I257" s="12"/>
      <c r="J257" s="8"/>
      <c r="K257" s="13"/>
    </row>
    <row r="258" spans="1:11" x14ac:dyDescent="0.25">
      <c r="A258" s="3" t="str">
        <f>"00054017613"</f>
        <v>00054017613</v>
      </c>
      <c r="B258" s="3" t="s">
        <v>368</v>
      </c>
      <c r="C258" s="3" t="s">
        <v>369</v>
      </c>
      <c r="D258" s="3">
        <v>30</v>
      </c>
      <c r="E258" s="4" t="s">
        <v>11</v>
      </c>
      <c r="F258" s="5">
        <v>2</v>
      </c>
      <c r="G258" s="3">
        <v>30</v>
      </c>
      <c r="I258" s="7"/>
      <c r="J258" s="8"/>
      <c r="K258" s="9"/>
    </row>
    <row r="259" spans="1:11" x14ac:dyDescent="0.25">
      <c r="A259" t="str">
        <f>"00054017713"</f>
        <v>00054017713</v>
      </c>
      <c r="B259" t="s">
        <v>368</v>
      </c>
      <c r="C259" t="s">
        <v>370</v>
      </c>
      <c r="D259">
        <v>30</v>
      </c>
      <c r="E259" s="10" t="s">
        <v>11</v>
      </c>
      <c r="F259" s="11">
        <v>8</v>
      </c>
      <c r="G259">
        <v>30</v>
      </c>
      <c r="I259" s="12"/>
      <c r="J259" s="8"/>
      <c r="K259" s="13"/>
    </row>
    <row r="260" spans="1:11" x14ac:dyDescent="0.25">
      <c r="A260" s="3" t="str">
        <f>"00228315603"</f>
        <v>00228315603</v>
      </c>
      <c r="B260" s="3" t="s">
        <v>368</v>
      </c>
      <c r="C260" s="3" t="s">
        <v>371</v>
      </c>
      <c r="D260" s="3">
        <v>30</v>
      </c>
      <c r="E260" s="4" t="s">
        <v>11</v>
      </c>
      <c r="F260" s="5">
        <v>2</v>
      </c>
      <c r="G260" s="3">
        <v>30</v>
      </c>
      <c r="I260" s="7"/>
      <c r="J260" s="8"/>
      <c r="K260" s="9"/>
    </row>
    <row r="261" spans="1:11" x14ac:dyDescent="0.25">
      <c r="A261" t="str">
        <f>"00228315303"</f>
        <v>00228315303</v>
      </c>
      <c r="B261" t="s">
        <v>368</v>
      </c>
      <c r="C261" t="s">
        <v>372</v>
      </c>
      <c r="D261">
        <v>30</v>
      </c>
      <c r="E261" s="10" t="s">
        <v>11</v>
      </c>
      <c r="F261" s="11">
        <v>8</v>
      </c>
      <c r="G261">
        <v>30</v>
      </c>
      <c r="I261" s="12"/>
      <c r="J261" s="8"/>
      <c r="K261" s="13"/>
    </row>
    <row r="262" spans="1:11" x14ac:dyDescent="0.25">
      <c r="A262" s="3" t="str">
        <f>"00378043501"</f>
        <v>00378043501</v>
      </c>
      <c r="B262" s="3" t="s">
        <v>373</v>
      </c>
      <c r="C262" s="3" t="s">
        <v>374</v>
      </c>
      <c r="D262" s="3">
        <v>100</v>
      </c>
      <c r="E262" s="4" t="s">
        <v>11</v>
      </c>
      <c r="F262" s="5">
        <v>100</v>
      </c>
      <c r="G262" s="3">
        <v>100</v>
      </c>
      <c r="I262" s="7"/>
      <c r="J262" s="8"/>
      <c r="K262" s="9"/>
    </row>
    <row r="263" spans="1:11" x14ac:dyDescent="0.25">
      <c r="A263" t="str">
        <f>"68001019800"</f>
        <v>68001019800</v>
      </c>
      <c r="B263" t="s">
        <v>373</v>
      </c>
      <c r="C263" t="s">
        <v>374</v>
      </c>
      <c r="D263">
        <v>100</v>
      </c>
      <c r="E263" s="10" t="s">
        <v>11</v>
      </c>
      <c r="F263" s="11">
        <v>100</v>
      </c>
      <c r="G263">
        <v>100</v>
      </c>
      <c r="I263" s="12"/>
      <c r="J263" s="8"/>
      <c r="K263" s="13"/>
    </row>
    <row r="264" spans="1:11" x14ac:dyDescent="0.25">
      <c r="A264" s="3" t="str">
        <f>"51079094420"</f>
        <v>51079094420</v>
      </c>
      <c r="B264" s="3" t="s">
        <v>373</v>
      </c>
      <c r="C264" s="3" t="s">
        <v>375</v>
      </c>
      <c r="D264" s="3">
        <v>100</v>
      </c>
      <c r="E264" s="4" t="s">
        <v>11</v>
      </c>
      <c r="F264" s="5">
        <v>100</v>
      </c>
      <c r="G264" s="3">
        <v>100</v>
      </c>
      <c r="I264" s="7"/>
      <c r="J264" s="8"/>
      <c r="K264" s="9"/>
    </row>
    <row r="265" spans="1:11" x14ac:dyDescent="0.25">
      <c r="A265" t="str">
        <f>"00378200877"</f>
        <v>00378200877</v>
      </c>
      <c r="B265" t="s">
        <v>373</v>
      </c>
      <c r="C265" t="s">
        <v>376</v>
      </c>
      <c r="D265">
        <v>90</v>
      </c>
      <c r="E265" s="10" t="s">
        <v>11</v>
      </c>
      <c r="F265" s="11">
        <v>150</v>
      </c>
      <c r="G265">
        <v>90</v>
      </c>
      <c r="I265" s="12"/>
      <c r="J265" s="8"/>
      <c r="K265" s="13"/>
    </row>
    <row r="266" spans="1:11" x14ac:dyDescent="0.25">
      <c r="A266" s="3" t="str">
        <f>"51079010903"</f>
        <v>51079010903</v>
      </c>
      <c r="B266" s="3" t="s">
        <v>373</v>
      </c>
      <c r="C266" s="3" t="s">
        <v>377</v>
      </c>
      <c r="D266" s="3">
        <v>30</v>
      </c>
      <c r="E266" s="4" t="s">
        <v>11</v>
      </c>
      <c r="F266" s="5">
        <v>300</v>
      </c>
      <c r="G266" s="3">
        <v>30</v>
      </c>
      <c r="I266" s="7"/>
      <c r="J266" s="8"/>
      <c r="K266" s="9"/>
    </row>
    <row r="267" spans="1:11" x14ac:dyDescent="0.25">
      <c r="A267" t="str">
        <f>"10370010250"</f>
        <v>10370010250</v>
      </c>
      <c r="B267" t="s">
        <v>373</v>
      </c>
      <c r="C267" t="s">
        <v>378</v>
      </c>
      <c r="D267">
        <v>500</v>
      </c>
      <c r="E267" s="10" t="s">
        <v>11</v>
      </c>
      <c r="F267" s="11">
        <v>300</v>
      </c>
      <c r="G267">
        <v>500</v>
      </c>
      <c r="I267" s="12"/>
      <c r="J267" s="8"/>
      <c r="K267" s="13"/>
    </row>
    <row r="268" spans="1:11" x14ac:dyDescent="0.25">
      <c r="A268" s="3" t="str">
        <f>"68001026403"</f>
        <v>68001026403</v>
      </c>
      <c r="B268" s="3" t="s">
        <v>373</v>
      </c>
      <c r="C268" s="3" t="s">
        <v>379</v>
      </c>
      <c r="D268" s="3">
        <v>500</v>
      </c>
      <c r="E268" s="4" t="s">
        <v>11</v>
      </c>
      <c r="F268" s="5">
        <v>300</v>
      </c>
      <c r="G268" s="3">
        <v>500</v>
      </c>
      <c r="I268" s="7"/>
      <c r="J268" s="8"/>
      <c r="K268" s="9"/>
    </row>
    <row r="269" spans="1:11" x14ac:dyDescent="0.25">
      <c r="A269" t="str">
        <f>"68001019900"</f>
        <v>68001019900</v>
      </c>
      <c r="B269" t="s">
        <v>373</v>
      </c>
      <c r="C269" t="s">
        <v>380</v>
      </c>
      <c r="D269">
        <v>100</v>
      </c>
      <c r="E269" s="10" t="s">
        <v>11</v>
      </c>
      <c r="F269" s="11">
        <v>75</v>
      </c>
      <c r="G269">
        <v>100</v>
      </c>
      <c r="I269" s="12"/>
      <c r="J269" s="8"/>
      <c r="K269" s="13"/>
    </row>
    <row r="270" spans="1:11" x14ac:dyDescent="0.25">
      <c r="A270" s="3" t="str">
        <f>"00781105301"</f>
        <v>00781105301</v>
      </c>
      <c r="B270" s="3" t="s">
        <v>373</v>
      </c>
      <c r="C270" s="3" t="s">
        <v>380</v>
      </c>
      <c r="D270" s="3">
        <v>100</v>
      </c>
      <c r="E270" s="4" t="s">
        <v>11</v>
      </c>
      <c r="F270" s="5">
        <v>75</v>
      </c>
      <c r="G270" s="3">
        <v>100</v>
      </c>
      <c r="I270" s="7"/>
      <c r="J270" s="8"/>
      <c r="K270" s="9"/>
    </row>
    <row r="271" spans="1:11" x14ac:dyDescent="0.25">
      <c r="A271" t="str">
        <f>"51079094320"</f>
        <v>51079094320</v>
      </c>
      <c r="B271" t="s">
        <v>373</v>
      </c>
      <c r="C271" t="s">
        <v>381</v>
      </c>
      <c r="D271">
        <v>100</v>
      </c>
      <c r="E271" s="10" t="s">
        <v>11</v>
      </c>
      <c r="F271" s="11">
        <v>75</v>
      </c>
      <c r="G271">
        <v>100</v>
      </c>
      <c r="I271" s="12"/>
      <c r="J271" s="8"/>
      <c r="K271" s="13"/>
    </row>
    <row r="272" spans="1:11" x14ac:dyDescent="0.25">
      <c r="A272" s="3" t="str">
        <f>"68001030800"</f>
        <v>68001030800</v>
      </c>
      <c r="B272" s="3" t="s">
        <v>373</v>
      </c>
      <c r="C272" s="3" t="s">
        <v>382</v>
      </c>
      <c r="D272" s="3">
        <v>100</v>
      </c>
      <c r="E272" s="4" t="s">
        <v>11</v>
      </c>
      <c r="F272" s="5">
        <v>75</v>
      </c>
      <c r="G272" s="3">
        <v>100</v>
      </c>
      <c r="I272" s="7"/>
      <c r="J272" s="8"/>
      <c r="K272" s="9"/>
    </row>
    <row r="273" spans="1:11" x14ac:dyDescent="0.25">
      <c r="A273" t="str">
        <f>"45963014290"</f>
        <v>45963014290</v>
      </c>
      <c r="B273" t="s">
        <v>373</v>
      </c>
      <c r="C273" t="s">
        <v>383</v>
      </c>
      <c r="D273">
        <v>90</v>
      </c>
      <c r="E273" s="10" t="s">
        <v>11</v>
      </c>
      <c r="F273" s="11">
        <v>300</v>
      </c>
      <c r="G273">
        <v>90</v>
      </c>
      <c r="I273" s="12"/>
      <c r="J273" s="8"/>
      <c r="K273" s="13"/>
    </row>
    <row r="274" spans="1:11" x14ac:dyDescent="0.25">
      <c r="A274" s="3" t="str">
        <f>"68001026404"</f>
        <v>68001026404</v>
      </c>
      <c r="B274" s="3" t="s">
        <v>373</v>
      </c>
      <c r="C274" s="3" t="s">
        <v>384</v>
      </c>
      <c r="D274" s="3">
        <v>30</v>
      </c>
      <c r="E274" s="4" t="s">
        <v>11</v>
      </c>
      <c r="F274" s="5">
        <v>300</v>
      </c>
      <c r="G274" s="3">
        <v>30</v>
      </c>
      <c r="I274" s="7"/>
      <c r="J274" s="8"/>
      <c r="K274" s="9"/>
    </row>
    <row r="275" spans="1:11" x14ac:dyDescent="0.25">
      <c r="A275" t="str">
        <f>"68001026405"</f>
        <v>68001026405</v>
      </c>
      <c r="B275" t="s">
        <v>373</v>
      </c>
      <c r="C275" t="s">
        <v>385</v>
      </c>
      <c r="D275">
        <v>90</v>
      </c>
      <c r="E275" s="10" t="s">
        <v>11</v>
      </c>
      <c r="F275" s="11">
        <v>300</v>
      </c>
      <c r="G275">
        <v>90</v>
      </c>
      <c r="I275" s="12"/>
      <c r="J275" s="8"/>
      <c r="K275" s="13"/>
    </row>
    <row r="276" spans="1:11" x14ac:dyDescent="0.25">
      <c r="A276" s="3" t="str">
        <f>"68001028703"</f>
        <v>68001028703</v>
      </c>
      <c r="B276" s="3" t="s">
        <v>373</v>
      </c>
      <c r="C276" s="3" t="s">
        <v>386</v>
      </c>
      <c r="D276" s="3">
        <v>500</v>
      </c>
      <c r="E276" s="4" t="s">
        <v>33</v>
      </c>
      <c r="F276" s="5">
        <v>150</v>
      </c>
      <c r="G276" s="3">
        <v>500</v>
      </c>
      <c r="I276" s="7"/>
      <c r="J276" s="8"/>
      <c r="K276" s="9"/>
    </row>
    <row r="277" spans="1:11" x14ac:dyDescent="0.25">
      <c r="A277" t="str">
        <f>"45963014205"</f>
        <v>45963014205</v>
      </c>
      <c r="B277" t="s">
        <v>373</v>
      </c>
      <c r="C277" t="s">
        <v>387</v>
      </c>
      <c r="D277">
        <v>500</v>
      </c>
      <c r="E277" s="10" t="s">
        <v>33</v>
      </c>
      <c r="F277" s="11">
        <v>300</v>
      </c>
      <c r="G277">
        <v>500</v>
      </c>
      <c r="I277" s="12"/>
      <c r="J277" s="8"/>
      <c r="K277" s="13"/>
    </row>
    <row r="278" spans="1:11" x14ac:dyDescent="0.25">
      <c r="A278" s="3" t="str">
        <f>"51079098620"</f>
        <v>51079098620</v>
      </c>
      <c r="B278" s="3" t="s">
        <v>388</v>
      </c>
      <c r="C278" s="3" t="s">
        <v>389</v>
      </c>
      <c r="D278" s="3">
        <v>100</v>
      </c>
      <c r="E278" s="4" t="s">
        <v>11</v>
      </c>
      <c r="F278" s="5">
        <v>10</v>
      </c>
      <c r="G278" s="3">
        <v>100</v>
      </c>
      <c r="I278" s="7"/>
      <c r="J278" s="8"/>
      <c r="K278" s="9"/>
    </row>
    <row r="279" spans="1:11" x14ac:dyDescent="0.25">
      <c r="A279" t="str">
        <f>"00591065810"</f>
        <v>00591065810</v>
      </c>
      <c r="B279" t="s">
        <v>388</v>
      </c>
      <c r="C279" t="s">
        <v>390</v>
      </c>
      <c r="D279">
        <v>1000</v>
      </c>
      <c r="E279" s="10" t="s">
        <v>11</v>
      </c>
      <c r="F279" s="11">
        <v>10</v>
      </c>
      <c r="G279">
        <v>1000</v>
      </c>
      <c r="I279" s="12"/>
      <c r="J279" s="8"/>
      <c r="K279" s="13"/>
    </row>
    <row r="280" spans="1:11" x14ac:dyDescent="0.25">
      <c r="A280" s="3" t="str">
        <f>"00115169103"</f>
        <v>00115169103</v>
      </c>
      <c r="B280" s="3" t="s">
        <v>388</v>
      </c>
      <c r="C280" s="3" t="s">
        <v>390</v>
      </c>
      <c r="D280" s="3">
        <v>1000</v>
      </c>
      <c r="E280" s="4" t="s">
        <v>11</v>
      </c>
      <c r="F280" s="5">
        <v>10</v>
      </c>
      <c r="G280" s="3">
        <v>1000</v>
      </c>
      <c r="I280" s="7"/>
      <c r="J280" s="8"/>
      <c r="K280" s="9"/>
    </row>
    <row r="281" spans="1:11" x14ac:dyDescent="0.25">
      <c r="A281" t="str">
        <f>"51079096020"</f>
        <v>51079096020</v>
      </c>
      <c r="B281" t="s">
        <v>388</v>
      </c>
      <c r="C281" t="s">
        <v>391</v>
      </c>
      <c r="D281">
        <v>100</v>
      </c>
      <c r="E281" s="10" t="s">
        <v>11</v>
      </c>
      <c r="F281" s="11">
        <v>15</v>
      </c>
      <c r="G281">
        <v>100</v>
      </c>
      <c r="I281" s="12"/>
      <c r="J281" s="8"/>
      <c r="K281" s="13"/>
    </row>
    <row r="282" spans="1:11" x14ac:dyDescent="0.25">
      <c r="A282" s="3" t="str">
        <f>"00591071818"</f>
        <v>00591071818</v>
      </c>
      <c r="B282" s="3" t="s">
        <v>388</v>
      </c>
      <c r="C282" s="3" t="s">
        <v>392</v>
      </c>
      <c r="D282" s="3">
        <v>180</v>
      </c>
      <c r="E282" s="4" t="s">
        <v>11</v>
      </c>
      <c r="F282" s="5">
        <v>15</v>
      </c>
      <c r="G282" s="3">
        <v>180</v>
      </c>
      <c r="I282" s="7"/>
      <c r="J282" s="8"/>
      <c r="K282" s="9"/>
    </row>
    <row r="283" spans="1:11" x14ac:dyDescent="0.25">
      <c r="A283" t="str">
        <f>"00591071805"</f>
        <v>00591071805</v>
      </c>
      <c r="B283" t="s">
        <v>388</v>
      </c>
      <c r="C283" t="s">
        <v>393</v>
      </c>
      <c r="D283">
        <v>500</v>
      </c>
      <c r="E283" s="10" t="s">
        <v>11</v>
      </c>
      <c r="F283" s="11">
        <v>15</v>
      </c>
      <c r="G283">
        <v>500</v>
      </c>
      <c r="I283" s="12"/>
      <c r="J283" s="8"/>
      <c r="K283" s="13"/>
    </row>
    <row r="284" spans="1:11" x14ac:dyDescent="0.25">
      <c r="A284" s="3" t="str">
        <f>"00115169202"</f>
        <v>00115169202</v>
      </c>
      <c r="B284" s="3" t="s">
        <v>388</v>
      </c>
      <c r="C284" s="3" t="s">
        <v>393</v>
      </c>
      <c r="D284" s="3">
        <v>500</v>
      </c>
      <c r="E284" s="4" t="s">
        <v>11</v>
      </c>
      <c r="F284" s="5">
        <v>15</v>
      </c>
      <c r="G284" s="3">
        <v>500</v>
      </c>
      <c r="I284" s="7"/>
      <c r="J284" s="8"/>
      <c r="K284" s="9"/>
    </row>
    <row r="285" spans="1:11" x14ac:dyDescent="0.25">
      <c r="A285" t="str">
        <f>"00591071860"</f>
        <v>00591071860</v>
      </c>
      <c r="B285" t="s">
        <v>388</v>
      </c>
      <c r="C285" t="s">
        <v>394</v>
      </c>
      <c r="D285">
        <v>60</v>
      </c>
      <c r="E285" s="10" t="s">
        <v>11</v>
      </c>
      <c r="F285" s="11">
        <v>15</v>
      </c>
      <c r="G285">
        <v>60</v>
      </c>
      <c r="I285" s="12"/>
      <c r="J285" s="8"/>
      <c r="K285" s="13"/>
    </row>
    <row r="286" spans="1:11" x14ac:dyDescent="0.25">
      <c r="A286" s="3" t="str">
        <f>"51079098520"</f>
        <v>51079098520</v>
      </c>
      <c r="B286" s="3" t="s">
        <v>388</v>
      </c>
      <c r="C286" s="3" t="s">
        <v>395</v>
      </c>
      <c r="D286" s="3">
        <v>100</v>
      </c>
      <c r="E286" s="4" t="s">
        <v>11</v>
      </c>
      <c r="F286" s="5">
        <v>5</v>
      </c>
      <c r="G286" s="3">
        <v>100</v>
      </c>
      <c r="I286" s="7"/>
      <c r="J286" s="8"/>
      <c r="K286" s="9"/>
    </row>
    <row r="287" spans="1:11" x14ac:dyDescent="0.25">
      <c r="A287" t="str">
        <f>"00591336901"</f>
        <v>00591336901</v>
      </c>
      <c r="B287" t="s">
        <v>396</v>
      </c>
      <c r="C287" t="s">
        <v>397</v>
      </c>
      <c r="D287">
        <v>100</v>
      </c>
      <c r="E287" s="10" t="s">
        <v>398</v>
      </c>
      <c r="F287" s="11" t="s">
        <v>399</v>
      </c>
      <c r="G287">
        <v>100</v>
      </c>
      <c r="I287" s="12"/>
      <c r="J287" s="8"/>
      <c r="K287" s="13"/>
    </row>
    <row r="288" spans="1:11" x14ac:dyDescent="0.25">
      <c r="A288" s="3" t="str">
        <f>"00310652401"</f>
        <v>00310652401</v>
      </c>
      <c r="B288" s="3" t="s">
        <v>400</v>
      </c>
      <c r="C288" s="3" t="s">
        <v>401</v>
      </c>
      <c r="D288" s="3">
        <v>2.4</v>
      </c>
      <c r="E288" s="4" t="s">
        <v>240</v>
      </c>
      <c r="F288" s="5">
        <v>250</v>
      </c>
      <c r="G288" s="3">
        <v>2.4</v>
      </c>
      <c r="I288" s="7"/>
      <c r="J288" s="8"/>
      <c r="K288" s="9"/>
    </row>
    <row r="289" spans="1:11" x14ac:dyDescent="0.25">
      <c r="A289" t="str">
        <f>"59762100501"</f>
        <v>59762100501</v>
      </c>
      <c r="B289" t="s">
        <v>402</v>
      </c>
      <c r="C289" t="s">
        <v>403</v>
      </c>
      <c r="D289">
        <v>8</v>
      </c>
      <c r="E289" s="10" t="s">
        <v>11</v>
      </c>
      <c r="F289" s="11">
        <v>0.5</v>
      </c>
      <c r="G289">
        <v>8</v>
      </c>
      <c r="I289" s="12"/>
      <c r="J289" s="8"/>
      <c r="K289" s="13"/>
    </row>
    <row r="290" spans="1:11" x14ac:dyDescent="0.25">
      <c r="A290" s="3" t="str">
        <f>"00904253321"</f>
        <v>00904253321</v>
      </c>
      <c r="B290" s="3" t="s">
        <v>404</v>
      </c>
      <c r="C290" s="3" t="s">
        <v>405</v>
      </c>
      <c r="D290" s="3">
        <v>177</v>
      </c>
      <c r="E290" s="4" t="s">
        <v>36</v>
      </c>
      <c r="F290" s="5"/>
      <c r="G290" s="3">
        <v>177</v>
      </c>
      <c r="I290" s="7"/>
      <c r="J290" s="8"/>
      <c r="K290" s="9"/>
    </row>
    <row r="291" spans="1:11" x14ac:dyDescent="0.25">
      <c r="A291" t="str">
        <f>"66993087761"</f>
        <v>66993087761</v>
      </c>
      <c r="B291" t="s">
        <v>406</v>
      </c>
      <c r="C291" t="s">
        <v>407</v>
      </c>
      <c r="D291">
        <v>60</v>
      </c>
      <c r="E291" s="10" t="s">
        <v>48</v>
      </c>
      <c r="F291" s="11">
        <v>5.0000000000000002E-5</v>
      </c>
      <c r="G291">
        <v>60</v>
      </c>
      <c r="I291" s="12"/>
      <c r="J291" s="8"/>
      <c r="K291" s="13"/>
    </row>
    <row r="292" spans="1:11" x14ac:dyDescent="0.25">
      <c r="A292" s="3" t="str">
        <f>"51672415403"</f>
        <v>51672415403</v>
      </c>
      <c r="B292" s="3" t="s">
        <v>406</v>
      </c>
      <c r="C292" s="3" t="s">
        <v>408</v>
      </c>
      <c r="D292" s="3">
        <v>60</v>
      </c>
      <c r="E292" s="4" t="s">
        <v>48</v>
      </c>
      <c r="F292" s="5">
        <v>5.0000000000000002E-5</v>
      </c>
      <c r="G292" s="3">
        <v>60</v>
      </c>
      <c r="I292" s="7"/>
      <c r="J292" s="8"/>
      <c r="K292" s="9"/>
    </row>
    <row r="293" spans="1:11" x14ac:dyDescent="0.25">
      <c r="A293" t="str">
        <f>"68462050165"</f>
        <v>68462050165</v>
      </c>
      <c r="B293" t="s">
        <v>406</v>
      </c>
      <c r="C293" t="s">
        <v>409</v>
      </c>
      <c r="D293">
        <v>60</v>
      </c>
      <c r="E293" s="10" t="s">
        <v>48</v>
      </c>
      <c r="F293" s="11">
        <v>5.0000000000000002E-5</v>
      </c>
      <c r="G293">
        <v>60</v>
      </c>
      <c r="I293" s="12"/>
      <c r="J293" s="8"/>
      <c r="K293" s="13"/>
    </row>
    <row r="294" spans="1:11" x14ac:dyDescent="0.25">
      <c r="A294" s="3" t="str">
        <f>"66993087861"</f>
        <v>66993087861</v>
      </c>
      <c r="B294" s="3" t="s">
        <v>406</v>
      </c>
      <c r="C294" s="3" t="s">
        <v>410</v>
      </c>
      <c r="D294" s="3">
        <v>60</v>
      </c>
      <c r="E294" s="4" t="s">
        <v>48</v>
      </c>
      <c r="F294" s="5">
        <v>5.0000000000000002E-5</v>
      </c>
      <c r="G294" s="3">
        <v>60</v>
      </c>
      <c r="I294" s="7"/>
      <c r="J294" s="8"/>
      <c r="K294" s="9"/>
    </row>
    <row r="295" spans="1:11" x14ac:dyDescent="0.25">
      <c r="A295" t="str">
        <f>"00904506260"</f>
        <v>00904506260</v>
      </c>
      <c r="B295" t="s">
        <v>411</v>
      </c>
      <c r="C295" t="s">
        <v>412</v>
      </c>
      <c r="D295">
        <v>100</v>
      </c>
      <c r="E295" s="10" t="s">
        <v>11</v>
      </c>
      <c r="F295" s="11">
        <v>200</v>
      </c>
      <c r="G295">
        <v>100</v>
      </c>
      <c r="I295" s="12"/>
      <c r="J295" s="8"/>
      <c r="K295" s="13"/>
    </row>
    <row r="296" spans="1:11" x14ac:dyDescent="0.25">
      <c r="A296" s="3" t="str">
        <f>"64380072306"</f>
        <v>64380072306</v>
      </c>
      <c r="B296" s="3" t="s">
        <v>413</v>
      </c>
      <c r="C296" s="3" t="s">
        <v>414</v>
      </c>
      <c r="D296" s="3">
        <v>100</v>
      </c>
      <c r="E296" s="4" t="s">
        <v>178</v>
      </c>
      <c r="F296" s="5">
        <v>0.25</v>
      </c>
      <c r="G296" s="3">
        <v>100</v>
      </c>
      <c r="I296" s="7"/>
      <c r="J296" s="8"/>
      <c r="K296" s="9"/>
    </row>
    <row r="297" spans="1:11" x14ac:dyDescent="0.25">
      <c r="A297" t="str">
        <f>"63304024001"</f>
        <v>63304024001</v>
      </c>
      <c r="B297" t="s">
        <v>413</v>
      </c>
      <c r="C297" t="s">
        <v>415</v>
      </c>
      <c r="D297">
        <v>100</v>
      </c>
      <c r="E297" s="10" t="s">
        <v>178</v>
      </c>
      <c r="F297" s="11">
        <v>0.5</v>
      </c>
      <c r="G297">
        <v>100</v>
      </c>
      <c r="I297" s="12"/>
      <c r="J297" s="8"/>
      <c r="K297" s="13"/>
    </row>
    <row r="298" spans="1:11" x14ac:dyDescent="0.25">
      <c r="A298" s="3" t="str">
        <f>"45802060801"</f>
        <v>45802060801</v>
      </c>
      <c r="B298" s="3" t="s">
        <v>413</v>
      </c>
      <c r="C298" s="3" t="s">
        <v>416</v>
      </c>
      <c r="D298" s="3">
        <v>100</v>
      </c>
      <c r="E298" s="4" t="s">
        <v>417</v>
      </c>
      <c r="F298" s="5">
        <v>3</v>
      </c>
      <c r="G298" s="3">
        <v>100</v>
      </c>
      <c r="I298" s="7"/>
      <c r="J298" s="8"/>
      <c r="K298" s="9"/>
    </row>
    <row r="299" spans="1:11" x14ac:dyDescent="0.25">
      <c r="A299" t="str">
        <f>"31722037702"</f>
        <v>31722037702</v>
      </c>
      <c r="B299" t="s">
        <v>418</v>
      </c>
      <c r="C299" t="s">
        <v>419</v>
      </c>
      <c r="D299">
        <v>200</v>
      </c>
      <c r="E299" s="10" t="s">
        <v>11</v>
      </c>
      <c r="F299" s="11">
        <v>667</v>
      </c>
      <c r="G299">
        <v>200</v>
      </c>
      <c r="I299" s="12"/>
      <c r="J299" s="8"/>
      <c r="K299" s="13"/>
    </row>
    <row r="300" spans="1:11" x14ac:dyDescent="0.25">
      <c r="A300" s="3" t="str">
        <f>"69097086283"</f>
        <v>69097086283</v>
      </c>
      <c r="B300" s="3" t="s">
        <v>418</v>
      </c>
      <c r="C300" s="3" t="s">
        <v>419</v>
      </c>
      <c r="D300" s="3">
        <v>200</v>
      </c>
      <c r="E300" s="4" t="s">
        <v>11</v>
      </c>
      <c r="F300" s="5">
        <v>667</v>
      </c>
      <c r="G300" s="3">
        <v>200</v>
      </c>
      <c r="I300" s="7"/>
      <c r="J300" s="8"/>
      <c r="K300" s="9"/>
    </row>
    <row r="301" spans="1:11" x14ac:dyDescent="0.25">
      <c r="A301" t="str">
        <f>"00904188380"</f>
        <v>00904188380</v>
      </c>
      <c r="B301" t="s">
        <v>158</v>
      </c>
      <c r="C301" t="s">
        <v>420</v>
      </c>
      <c r="D301">
        <v>1000</v>
      </c>
      <c r="E301" s="10" t="s">
        <v>11</v>
      </c>
      <c r="F301" s="11">
        <v>500</v>
      </c>
      <c r="G301">
        <v>1000</v>
      </c>
      <c r="I301" s="12"/>
      <c r="J301" s="8"/>
      <c r="K301" s="13"/>
    </row>
    <row r="302" spans="1:11" x14ac:dyDescent="0.25">
      <c r="A302" s="3" t="str">
        <f>"00904546080"</f>
        <v>00904546080</v>
      </c>
      <c r="B302" s="3" t="s">
        <v>421</v>
      </c>
      <c r="C302" s="3" t="s">
        <v>422</v>
      </c>
      <c r="D302" s="3">
        <v>1000</v>
      </c>
      <c r="E302" s="4" t="s">
        <v>11</v>
      </c>
      <c r="F302" s="5">
        <v>500</v>
      </c>
      <c r="G302" s="3">
        <v>1000</v>
      </c>
      <c r="I302" s="7"/>
      <c r="J302" s="8"/>
      <c r="K302" s="9"/>
    </row>
    <row r="303" spans="1:11" x14ac:dyDescent="0.25">
      <c r="A303" t="str">
        <f>"58914050156"</f>
        <v>58914050156</v>
      </c>
      <c r="B303" t="s">
        <v>423</v>
      </c>
      <c r="C303" t="s">
        <v>424</v>
      </c>
      <c r="D303">
        <v>30</v>
      </c>
      <c r="E303" s="10" t="s">
        <v>11</v>
      </c>
      <c r="F303" s="11">
        <v>1000</v>
      </c>
      <c r="G303">
        <v>30</v>
      </c>
      <c r="I303" s="12"/>
      <c r="J303" s="8"/>
      <c r="K303" s="13"/>
    </row>
    <row r="304" spans="1:11" x14ac:dyDescent="0.25">
      <c r="A304" s="3" t="str">
        <f>"00006382210"</f>
        <v>00006382210</v>
      </c>
      <c r="B304" s="3" t="s">
        <v>425</v>
      </c>
      <c r="C304" s="3" t="s">
        <v>426</v>
      </c>
      <c r="D304" s="3">
        <v>10</v>
      </c>
      <c r="E304" s="4" t="s">
        <v>11</v>
      </c>
      <c r="F304" s="5">
        <v>50</v>
      </c>
      <c r="G304" s="3">
        <v>1</v>
      </c>
      <c r="I304" s="7"/>
      <c r="J304" s="8"/>
      <c r="K304" s="9"/>
    </row>
    <row r="305" spans="1:11" x14ac:dyDescent="0.25">
      <c r="A305" t="str">
        <f>"41167075142"</f>
        <v>41167075142</v>
      </c>
      <c r="B305" t="s">
        <v>427</v>
      </c>
      <c r="C305" t="s">
        <v>428</v>
      </c>
      <c r="D305">
        <v>1.5</v>
      </c>
      <c r="G305">
        <v>42.5</v>
      </c>
      <c r="I305" s="12"/>
      <c r="J305" s="8"/>
      <c r="K305" s="13"/>
    </row>
    <row r="306" spans="1:11" x14ac:dyDescent="0.25">
      <c r="A306" s="3" t="str">
        <f>"58914017014"</f>
        <v>58914017014</v>
      </c>
      <c r="B306" s="3" t="s">
        <v>429</v>
      </c>
      <c r="C306" s="3" t="s">
        <v>430</v>
      </c>
      <c r="D306" s="3">
        <v>14</v>
      </c>
      <c r="E306" s="4" t="s">
        <v>431</v>
      </c>
      <c r="F306" s="5" t="s">
        <v>432</v>
      </c>
      <c r="G306" s="3">
        <v>420</v>
      </c>
      <c r="I306" s="7"/>
      <c r="J306" s="8"/>
      <c r="K306" s="9"/>
    </row>
    <row r="307" spans="1:11" x14ac:dyDescent="0.25">
      <c r="A307" t="str">
        <f>"00904385461"</f>
        <v>00904385461</v>
      </c>
      <c r="B307" t="s">
        <v>433</v>
      </c>
      <c r="C307" t="s">
        <v>434</v>
      </c>
      <c r="D307">
        <v>100</v>
      </c>
      <c r="E307" s="10" t="s">
        <v>11</v>
      </c>
      <c r="F307" s="11">
        <v>100</v>
      </c>
      <c r="G307">
        <v>100</v>
      </c>
      <c r="I307" s="12"/>
      <c r="J307" s="8"/>
      <c r="K307" s="13"/>
    </row>
    <row r="308" spans="1:11" x14ac:dyDescent="0.25">
      <c r="A308" s="3" t="str">
        <f>"51079087020"</f>
        <v>51079087020</v>
      </c>
      <c r="B308" s="3" t="s">
        <v>433</v>
      </c>
      <c r="C308" s="3" t="s">
        <v>434</v>
      </c>
      <c r="D308" s="3">
        <v>100</v>
      </c>
      <c r="E308" s="4" t="s">
        <v>435</v>
      </c>
      <c r="F308" s="5">
        <v>100</v>
      </c>
      <c r="G308" s="3">
        <v>100</v>
      </c>
      <c r="I308" s="7"/>
      <c r="J308" s="8"/>
      <c r="K308" s="9"/>
    </row>
    <row r="309" spans="1:11" x14ac:dyDescent="0.25">
      <c r="A309" t="str">
        <f>"51672404102"</f>
        <v>51672404102</v>
      </c>
      <c r="B309" t="s">
        <v>433</v>
      </c>
      <c r="C309" t="s">
        <v>436</v>
      </c>
      <c r="D309">
        <v>500</v>
      </c>
      <c r="E309" s="10" t="s">
        <v>435</v>
      </c>
      <c r="F309" s="11">
        <v>100</v>
      </c>
      <c r="G309">
        <v>500</v>
      </c>
      <c r="I309" s="12"/>
      <c r="J309" s="8"/>
      <c r="K309" s="13"/>
    </row>
    <row r="310" spans="1:11" x14ac:dyDescent="0.25">
      <c r="A310" s="3" t="str">
        <f>"60432012916"</f>
        <v>60432012916</v>
      </c>
      <c r="B310" s="3" t="s">
        <v>433</v>
      </c>
      <c r="C310" s="3" t="s">
        <v>437</v>
      </c>
      <c r="D310" s="3">
        <v>450</v>
      </c>
      <c r="E310" s="4" t="s">
        <v>438</v>
      </c>
      <c r="F310" s="5">
        <v>100</v>
      </c>
      <c r="G310" s="3">
        <v>450</v>
      </c>
      <c r="I310" s="7"/>
      <c r="J310" s="8"/>
      <c r="K310" s="9"/>
    </row>
    <row r="311" spans="1:11" x14ac:dyDescent="0.25">
      <c r="A311" t="str">
        <f>"51672400501"</f>
        <v>51672400501</v>
      </c>
      <c r="B311" t="s">
        <v>433</v>
      </c>
      <c r="C311" t="s">
        <v>439</v>
      </c>
      <c r="D311">
        <v>100</v>
      </c>
      <c r="E311" s="10" t="s">
        <v>11</v>
      </c>
      <c r="F311" s="11">
        <v>200</v>
      </c>
      <c r="G311">
        <v>100</v>
      </c>
      <c r="I311" s="12"/>
      <c r="J311" s="8"/>
      <c r="K311" s="13"/>
    </row>
    <row r="312" spans="1:11" x14ac:dyDescent="0.25">
      <c r="A312" s="3" t="str">
        <f>"51079038520"</f>
        <v>51079038520</v>
      </c>
      <c r="B312" s="3" t="s">
        <v>433</v>
      </c>
      <c r="C312" s="3" t="s">
        <v>440</v>
      </c>
      <c r="D312" s="3">
        <v>100</v>
      </c>
      <c r="E312" s="4" t="s">
        <v>11</v>
      </c>
      <c r="F312" s="5">
        <v>200</v>
      </c>
      <c r="G312" s="3">
        <v>100</v>
      </c>
      <c r="I312" s="7"/>
      <c r="J312" s="8"/>
      <c r="K312" s="9"/>
    </row>
    <row r="313" spans="1:11" x14ac:dyDescent="0.25">
      <c r="A313" t="str">
        <f>"51672400503"</f>
        <v>51672400503</v>
      </c>
      <c r="B313" t="s">
        <v>433</v>
      </c>
      <c r="C313" t="s">
        <v>441</v>
      </c>
      <c r="D313">
        <v>1000</v>
      </c>
      <c r="E313" s="10" t="s">
        <v>11</v>
      </c>
      <c r="F313" s="11">
        <v>200</v>
      </c>
      <c r="G313">
        <v>1000</v>
      </c>
      <c r="I313" s="12"/>
      <c r="J313" s="8"/>
      <c r="K313" s="13"/>
    </row>
    <row r="314" spans="1:11" x14ac:dyDescent="0.25">
      <c r="A314" s="3" t="str">
        <f>"62756051788"</f>
        <v>62756051788</v>
      </c>
      <c r="B314" s="3" t="s">
        <v>442</v>
      </c>
      <c r="C314" s="3" t="s">
        <v>443</v>
      </c>
      <c r="D314" s="3">
        <v>100</v>
      </c>
      <c r="E314" s="4" t="s">
        <v>11</v>
      </c>
      <c r="F314" s="5" t="s">
        <v>444</v>
      </c>
      <c r="G314" s="3">
        <v>100</v>
      </c>
      <c r="I314" s="7"/>
      <c r="J314" s="8"/>
      <c r="K314" s="9"/>
    </row>
    <row r="315" spans="1:11" x14ac:dyDescent="0.25">
      <c r="A315" t="str">
        <f>"00228253810"</f>
        <v>00228253810</v>
      </c>
      <c r="B315" t="s">
        <v>442</v>
      </c>
      <c r="C315" t="s">
        <v>443</v>
      </c>
      <c r="D315">
        <v>100</v>
      </c>
      <c r="E315" s="10" t="s">
        <v>11</v>
      </c>
      <c r="F315" s="11" t="s">
        <v>444</v>
      </c>
      <c r="G315">
        <v>100</v>
      </c>
      <c r="I315" s="12"/>
      <c r="J315" s="8"/>
      <c r="K315" s="13"/>
    </row>
    <row r="316" spans="1:11" x14ac:dyDescent="0.25">
      <c r="A316" s="3" t="str">
        <f>"51862007701"</f>
        <v>51862007701</v>
      </c>
      <c r="B316" s="3" t="s">
        <v>442</v>
      </c>
      <c r="C316" s="3" t="s">
        <v>443</v>
      </c>
      <c r="D316" s="3">
        <v>100</v>
      </c>
      <c r="E316" s="4" t="s">
        <v>11</v>
      </c>
      <c r="F316" s="5" t="s">
        <v>444</v>
      </c>
      <c r="G316" s="3">
        <v>100</v>
      </c>
      <c r="I316" s="7"/>
      <c r="J316" s="8"/>
      <c r="K316" s="9"/>
    </row>
    <row r="317" spans="1:11" x14ac:dyDescent="0.25">
      <c r="A317" t="str">
        <f>"62756046188"</f>
        <v>62756046188</v>
      </c>
      <c r="B317" t="s">
        <v>442</v>
      </c>
      <c r="C317" t="s">
        <v>445</v>
      </c>
      <c r="D317">
        <v>100</v>
      </c>
      <c r="E317" s="10" t="s">
        <v>33</v>
      </c>
      <c r="F317" s="11" t="s">
        <v>446</v>
      </c>
      <c r="G317">
        <v>100</v>
      </c>
      <c r="I317" s="12"/>
      <c r="J317" s="8"/>
      <c r="K317" s="13"/>
    </row>
    <row r="318" spans="1:11" x14ac:dyDescent="0.25">
      <c r="A318" s="3" t="str">
        <f>"00228253910"</f>
        <v>00228253910</v>
      </c>
      <c r="B318" s="3" t="s">
        <v>442</v>
      </c>
      <c r="C318" s="3" t="s">
        <v>447</v>
      </c>
      <c r="D318" s="3">
        <v>100</v>
      </c>
      <c r="E318" s="4" t="s">
        <v>11</v>
      </c>
      <c r="F318" s="5" t="s">
        <v>446</v>
      </c>
      <c r="G318" s="3">
        <v>100</v>
      </c>
      <c r="I318" s="7"/>
      <c r="J318" s="8"/>
      <c r="K318" s="9"/>
    </row>
    <row r="319" spans="1:11" x14ac:dyDescent="0.25">
      <c r="A319" t="str">
        <f>"00228254010"</f>
        <v>00228254010</v>
      </c>
      <c r="B319" t="s">
        <v>442</v>
      </c>
      <c r="C319" t="s">
        <v>448</v>
      </c>
      <c r="D319">
        <v>100</v>
      </c>
      <c r="E319" s="10" t="s">
        <v>11</v>
      </c>
      <c r="F319" s="11" t="s">
        <v>449</v>
      </c>
      <c r="G319">
        <v>100</v>
      </c>
      <c r="I319" s="12"/>
      <c r="J319" s="8"/>
      <c r="K319" s="13"/>
    </row>
    <row r="320" spans="1:11" x14ac:dyDescent="0.25">
      <c r="A320" s="3" t="str">
        <f>"68084038001"</f>
        <v>68084038001</v>
      </c>
      <c r="B320" s="3" t="s">
        <v>450</v>
      </c>
      <c r="C320" s="3" t="s">
        <v>451</v>
      </c>
      <c r="D320" s="3">
        <v>100</v>
      </c>
      <c r="E320" s="4" t="s">
        <v>11</v>
      </c>
      <c r="F320" s="5">
        <v>350</v>
      </c>
      <c r="G320" s="3">
        <v>100</v>
      </c>
      <c r="I320" s="7"/>
      <c r="J320" s="8"/>
      <c r="K320" s="9"/>
    </row>
    <row r="321" spans="1:11" x14ac:dyDescent="0.25">
      <c r="A321" t="str">
        <f>"68382009401"</f>
        <v>68382009401</v>
      </c>
      <c r="B321" t="s">
        <v>452</v>
      </c>
      <c r="C321" t="s">
        <v>453</v>
      </c>
      <c r="D321">
        <v>100</v>
      </c>
      <c r="E321" s="10" t="s">
        <v>11</v>
      </c>
      <c r="F321" s="11">
        <v>12.5</v>
      </c>
      <c r="G321">
        <v>100</v>
      </c>
      <c r="I321" s="12"/>
      <c r="J321" s="8"/>
      <c r="K321" s="13"/>
    </row>
    <row r="322" spans="1:11" x14ac:dyDescent="0.25">
      <c r="A322" s="3" t="str">
        <f>"68001015100"</f>
        <v>68001015100</v>
      </c>
      <c r="B322" s="3" t="s">
        <v>452</v>
      </c>
      <c r="C322" s="3" t="s">
        <v>454</v>
      </c>
      <c r="D322" s="3">
        <v>100</v>
      </c>
      <c r="E322" s="4" t="s">
        <v>11</v>
      </c>
      <c r="F322" s="5">
        <v>12.5</v>
      </c>
      <c r="G322" s="3">
        <v>100</v>
      </c>
      <c r="I322" s="7"/>
      <c r="J322" s="8"/>
      <c r="K322" s="9"/>
    </row>
    <row r="323" spans="1:11" x14ac:dyDescent="0.25">
      <c r="A323" t="str">
        <f>"68084086501"</f>
        <v>68084086501</v>
      </c>
      <c r="B323" t="s">
        <v>452</v>
      </c>
      <c r="C323" t="s">
        <v>455</v>
      </c>
      <c r="D323">
        <v>100</v>
      </c>
      <c r="E323" s="10" t="s">
        <v>11</v>
      </c>
      <c r="F323" s="11">
        <v>12.5</v>
      </c>
      <c r="G323">
        <v>100</v>
      </c>
      <c r="I323" s="12"/>
      <c r="J323" s="8"/>
      <c r="K323" s="13"/>
    </row>
    <row r="324" spans="1:11" x14ac:dyDescent="0.25">
      <c r="A324" s="3" t="str">
        <f>"68001015103"</f>
        <v>68001015103</v>
      </c>
      <c r="B324" s="3" t="s">
        <v>452</v>
      </c>
      <c r="C324" s="3" t="s">
        <v>456</v>
      </c>
      <c r="D324" s="3">
        <v>500</v>
      </c>
      <c r="E324" s="4" t="s">
        <v>11</v>
      </c>
      <c r="F324" s="5">
        <v>12.5</v>
      </c>
      <c r="G324" s="3">
        <v>500</v>
      </c>
      <c r="I324" s="7"/>
      <c r="J324" s="8"/>
      <c r="K324" s="9"/>
    </row>
    <row r="325" spans="1:11" x14ac:dyDescent="0.25">
      <c r="A325" t="str">
        <f>"68001015200"</f>
        <v>68001015200</v>
      </c>
      <c r="B325" t="s">
        <v>452</v>
      </c>
      <c r="C325" t="s">
        <v>457</v>
      </c>
      <c r="D325">
        <v>100</v>
      </c>
      <c r="E325" s="10" t="s">
        <v>11</v>
      </c>
      <c r="F325" s="11">
        <v>25</v>
      </c>
      <c r="G325">
        <v>100</v>
      </c>
      <c r="I325" s="12"/>
      <c r="J325" s="8"/>
      <c r="K325" s="13"/>
    </row>
    <row r="326" spans="1:11" x14ac:dyDescent="0.25">
      <c r="A326" s="3" t="str">
        <f>"68001015203"</f>
        <v>68001015203</v>
      </c>
      <c r="B326" s="3" t="s">
        <v>452</v>
      </c>
      <c r="C326" s="3" t="s">
        <v>458</v>
      </c>
      <c r="D326" s="3">
        <v>500</v>
      </c>
      <c r="E326" s="4" t="s">
        <v>11</v>
      </c>
      <c r="F326" s="5">
        <v>25</v>
      </c>
      <c r="G326" s="3">
        <v>500</v>
      </c>
      <c r="I326" s="7"/>
      <c r="J326" s="8"/>
      <c r="K326" s="9"/>
    </row>
    <row r="327" spans="1:11" x14ac:dyDescent="0.25">
      <c r="A327" t="str">
        <f>"68001015300"</f>
        <v>68001015300</v>
      </c>
      <c r="B327" t="s">
        <v>452</v>
      </c>
      <c r="C327" t="s">
        <v>459</v>
      </c>
      <c r="D327">
        <v>100</v>
      </c>
      <c r="E327" s="10" t="s">
        <v>11</v>
      </c>
      <c r="F327" s="11">
        <v>3.125</v>
      </c>
      <c r="G327">
        <v>100</v>
      </c>
      <c r="I327" s="12"/>
      <c r="J327" s="8"/>
      <c r="K327" s="13"/>
    </row>
    <row r="328" spans="1:11" x14ac:dyDescent="0.25">
      <c r="A328" s="3" t="str">
        <f>"00904630061"</f>
        <v>00904630061</v>
      </c>
      <c r="B328" s="3" t="s">
        <v>452</v>
      </c>
      <c r="C328" s="3" t="s">
        <v>460</v>
      </c>
      <c r="D328" s="3">
        <v>100</v>
      </c>
      <c r="E328" s="4" t="s">
        <v>11</v>
      </c>
      <c r="F328" s="5">
        <v>3.125</v>
      </c>
      <c r="G328" s="3">
        <v>100</v>
      </c>
      <c r="I328" s="7"/>
      <c r="J328" s="8"/>
      <c r="K328" s="9"/>
    </row>
    <row r="329" spans="1:11" x14ac:dyDescent="0.25">
      <c r="A329" t="str">
        <f>"68001015303"</f>
        <v>68001015303</v>
      </c>
      <c r="B329" t="s">
        <v>452</v>
      </c>
      <c r="C329" t="s">
        <v>461</v>
      </c>
      <c r="D329">
        <v>500</v>
      </c>
      <c r="E329" s="10" t="s">
        <v>11</v>
      </c>
      <c r="F329" s="11">
        <v>3.125</v>
      </c>
      <c r="G329">
        <v>500</v>
      </c>
      <c r="I329" s="12"/>
      <c r="J329" s="8"/>
      <c r="K329" s="13"/>
    </row>
    <row r="330" spans="1:11" x14ac:dyDescent="0.25">
      <c r="A330" s="3" t="str">
        <f>"68001015400"</f>
        <v>68001015400</v>
      </c>
      <c r="B330" s="3" t="s">
        <v>452</v>
      </c>
      <c r="C330" s="3" t="s">
        <v>462</v>
      </c>
      <c r="D330" s="3">
        <v>100</v>
      </c>
      <c r="E330" s="4" t="s">
        <v>11</v>
      </c>
      <c r="F330" s="5">
        <v>6.25</v>
      </c>
      <c r="G330" s="3">
        <v>100</v>
      </c>
      <c r="I330" s="7"/>
      <c r="J330" s="8"/>
      <c r="K330" s="9"/>
    </row>
    <row r="331" spans="1:11" x14ac:dyDescent="0.25">
      <c r="A331" t="str">
        <f>"68084085401"</f>
        <v>68084085401</v>
      </c>
      <c r="B331" t="s">
        <v>452</v>
      </c>
      <c r="C331" t="s">
        <v>463</v>
      </c>
      <c r="D331">
        <v>100</v>
      </c>
      <c r="E331" s="10" t="s">
        <v>11</v>
      </c>
      <c r="F331" s="11">
        <v>6.25</v>
      </c>
      <c r="G331">
        <v>100</v>
      </c>
      <c r="I331" s="12"/>
      <c r="J331" s="8"/>
      <c r="K331" s="13"/>
    </row>
    <row r="332" spans="1:11" x14ac:dyDescent="0.25">
      <c r="A332" s="3" t="str">
        <f>"68001015403"</f>
        <v>68001015403</v>
      </c>
      <c r="B332" s="3" t="s">
        <v>452</v>
      </c>
      <c r="C332" s="3" t="s">
        <v>464</v>
      </c>
      <c r="D332" s="3">
        <v>500</v>
      </c>
      <c r="E332" s="4" t="s">
        <v>11</v>
      </c>
      <c r="F332" s="5">
        <v>6.25</v>
      </c>
      <c r="G332" s="3">
        <v>500</v>
      </c>
      <c r="I332" s="7"/>
      <c r="J332" s="8"/>
      <c r="K332" s="9"/>
    </row>
    <row r="333" spans="1:11" x14ac:dyDescent="0.25">
      <c r="A333" t="str">
        <f>"00395051592"</f>
        <v>00395051592</v>
      </c>
      <c r="B333" t="s">
        <v>465</v>
      </c>
      <c r="C333" t="s">
        <v>466</v>
      </c>
      <c r="D333">
        <v>2</v>
      </c>
      <c r="G333">
        <v>59</v>
      </c>
      <c r="I333" s="12"/>
      <c r="J333" s="8"/>
      <c r="K333" s="13"/>
    </row>
    <row r="334" spans="1:11" x14ac:dyDescent="0.25">
      <c r="A334" s="3" t="str">
        <f>"50242004164"</f>
        <v>50242004164</v>
      </c>
      <c r="B334" s="3" t="s">
        <v>467</v>
      </c>
      <c r="C334" s="3" t="s">
        <v>468</v>
      </c>
      <c r="D334" s="3">
        <v>2</v>
      </c>
      <c r="E334" s="4" t="s">
        <v>11</v>
      </c>
      <c r="F334" s="5">
        <v>2</v>
      </c>
      <c r="G334" s="3">
        <v>1</v>
      </c>
      <c r="I334" s="7"/>
      <c r="J334" s="8"/>
      <c r="K334" s="9"/>
    </row>
    <row r="335" spans="1:11" x14ac:dyDescent="0.25">
      <c r="A335" t="str">
        <f>"00143992490"</f>
        <v>00143992490</v>
      </c>
      <c r="B335" t="s">
        <v>469</v>
      </c>
      <c r="C335" t="s">
        <v>470</v>
      </c>
      <c r="D335">
        <v>25</v>
      </c>
      <c r="E335" s="10" t="s">
        <v>48</v>
      </c>
      <c r="F335" s="11">
        <v>1</v>
      </c>
      <c r="G335">
        <v>1</v>
      </c>
      <c r="I335" s="12"/>
      <c r="J335" s="8"/>
      <c r="K335" s="13"/>
    </row>
    <row r="336" spans="1:11" x14ac:dyDescent="0.25">
      <c r="A336" s="3" t="str">
        <f>"00409080501"</f>
        <v>00409080501</v>
      </c>
      <c r="B336" s="3" t="s">
        <v>469</v>
      </c>
      <c r="C336" s="3" t="s">
        <v>470</v>
      </c>
      <c r="D336" s="3">
        <v>25</v>
      </c>
      <c r="E336" s="4" t="s">
        <v>48</v>
      </c>
      <c r="F336" s="5">
        <v>1</v>
      </c>
      <c r="G336" s="3">
        <v>1</v>
      </c>
      <c r="I336" s="7"/>
      <c r="J336" s="8"/>
      <c r="K336" s="9"/>
    </row>
    <row r="337" spans="1:11" x14ac:dyDescent="0.25">
      <c r="A337" t="str">
        <f>"63323023610"</f>
        <v>63323023610</v>
      </c>
      <c r="B337" t="s">
        <v>469</v>
      </c>
      <c r="C337" t="s">
        <v>471</v>
      </c>
      <c r="D337">
        <v>25</v>
      </c>
      <c r="E337" s="10" t="s">
        <v>11</v>
      </c>
      <c r="F337" s="11">
        <v>500</v>
      </c>
      <c r="G337">
        <v>1</v>
      </c>
      <c r="I337" s="12"/>
      <c r="J337" s="8"/>
      <c r="K337" s="13"/>
    </row>
    <row r="338" spans="1:11" x14ac:dyDescent="0.25">
      <c r="A338" s="3" t="str">
        <f>"25021012120"</f>
        <v>25021012120</v>
      </c>
      <c r="B338" s="3" t="s">
        <v>472</v>
      </c>
      <c r="C338" s="3" t="s">
        <v>473</v>
      </c>
      <c r="D338" s="3">
        <v>10</v>
      </c>
      <c r="E338" s="4" t="s">
        <v>48</v>
      </c>
      <c r="F338" s="5">
        <v>1</v>
      </c>
      <c r="G338" s="3">
        <v>1</v>
      </c>
      <c r="I338" s="7"/>
      <c r="J338" s="8"/>
      <c r="K338" s="9"/>
    </row>
    <row r="339" spans="1:11" x14ac:dyDescent="0.25">
      <c r="A339" t="str">
        <f>"25021012850"</f>
        <v>25021012850</v>
      </c>
      <c r="B339" t="s">
        <v>474</v>
      </c>
      <c r="C339" t="s">
        <v>475</v>
      </c>
      <c r="D339">
        <v>10</v>
      </c>
      <c r="E339" s="10" t="s">
        <v>48</v>
      </c>
      <c r="F339" s="11">
        <v>2</v>
      </c>
      <c r="G339">
        <v>1</v>
      </c>
      <c r="I339" s="12"/>
      <c r="J339" s="8"/>
      <c r="K339" s="13"/>
    </row>
    <row r="340" spans="1:11" x14ac:dyDescent="0.25">
      <c r="A340" s="3" t="str">
        <f>"44567023610"</f>
        <v>44567023610</v>
      </c>
      <c r="B340" s="3" t="s">
        <v>474</v>
      </c>
      <c r="C340" s="3" t="s">
        <v>475</v>
      </c>
      <c r="D340" s="3">
        <v>10</v>
      </c>
      <c r="E340" s="4" t="s">
        <v>48</v>
      </c>
      <c r="F340" s="5">
        <v>2</v>
      </c>
      <c r="G340" s="3">
        <v>1</v>
      </c>
      <c r="I340" s="7"/>
      <c r="J340" s="8"/>
      <c r="K340" s="9"/>
    </row>
    <row r="341" spans="1:11" x14ac:dyDescent="0.25">
      <c r="A341" t="str">
        <f>"00409733201"</f>
        <v>00409733201</v>
      </c>
      <c r="B341" t="s">
        <v>476</v>
      </c>
      <c r="C341" t="s">
        <v>477</v>
      </c>
      <c r="D341">
        <v>10</v>
      </c>
      <c r="E341" s="10" t="s">
        <v>48</v>
      </c>
      <c r="F341" s="11">
        <v>1</v>
      </c>
      <c r="G341">
        <v>1</v>
      </c>
      <c r="I341" s="12"/>
      <c r="J341" s="8"/>
      <c r="K341" s="13"/>
    </row>
    <row r="342" spans="1:11" x14ac:dyDescent="0.25">
      <c r="A342" s="3" t="str">
        <f>"00143985725"</f>
        <v>00143985725</v>
      </c>
      <c r="B342" s="3" t="s">
        <v>476</v>
      </c>
      <c r="C342" s="3" t="s">
        <v>478</v>
      </c>
      <c r="D342" s="3">
        <v>25</v>
      </c>
      <c r="E342" s="4" t="s">
        <v>48</v>
      </c>
      <c r="F342" s="5">
        <v>1</v>
      </c>
      <c r="G342" s="3">
        <v>1</v>
      </c>
      <c r="I342" s="7"/>
      <c r="J342" s="8"/>
      <c r="K342" s="9"/>
    </row>
    <row r="343" spans="1:11" x14ac:dyDescent="0.25">
      <c r="A343" t="str">
        <f>"00409733701"</f>
        <v>00409733701</v>
      </c>
      <c r="B343" t="s">
        <v>476</v>
      </c>
      <c r="C343" t="s">
        <v>479</v>
      </c>
      <c r="D343">
        <v>10</v>
      </c>
      <c r="E343" s="10" t="s">
        <v>11</v>
      </c>
      <c r="F343" s="11">
        <v>250</v>
      </c>
      <c r="G343">
        <v>1</v>
      </c>
      <c r="I343" s="12"/>
      <c r="J343" s="8"/>
      <c r="K343" s="13"/>
    </row>
    <row r="344" spans="1:11" x14ac:dyDescent="0.25">
      <c r="A344" s="3" t="str">
        <f>"60505075104"</f>
        <v>60505075104</v>
      </c>
      <c r="B344" s="3" t="s">
        <v>476</v>
      </c>
      <c r="C344" s="3" t="s">
        <v>480</v>
      </c>
      <c r="D344" s="3">
        <v>10</v>
      </c>
      <c r="E344" s="4" t="s">
        <v>11</v>
      </c>
      <c r="F344" s="5">
        <v>500</v>
      </c>
      <c r="G344" s="3">
        <v>1</v>
      </c>
      <c r="I344" s="7"/>
      <c r="J344" s="8"/>
      <c r="K344" s="9"/>
    </row>
    <row r="345" spans="1:11" x14ac:dyDescent="0.25">
      <c r="A345" t="str">
        <f>"68180030320"</f>
        <v>68180030320</v>
      </c>
      <c r="B345" t="s">
        <v>481</v>
      </c>
      <c r="C345" t="s">
        <v>482</v>
      </c>
      <c r="D345">
        <v>20</v>
      </c>
      <c r="E345" s="10" t="s">
        <v>11</v>
      </c>
      <c r="F345" s="11">
        <v>500</v>
      </c>
      <c r="G345">
        <v>20</v>
      </c>
      <c r="I345" s="12"/>
      <c r="J345" s="8"/>
      <c r="K345" s="13"/>
    </row>
    <row r="346" spans="1:11" x14ac:dyDescent="0.25">
      <c r="A346" s="3" t="str">
        <f>"67877021520"</f>
        <v>67877021520</v>
      </c>
      <c r="B346" s="3" t="s">
        <v>481</v>
      </c>
      <c r="C346" s="3" t="s">
        <v>483</v>
      </c>
      <c r="D346" s="3">
        <v>20</v>
      </c>
      <c r="E346" s="4" t="s">
        <v>11</v>
      </c>
      <c r="F346" s="5">
        <v>250</v>
      </c>
      <c r="G346" s="3">
        <v>20</v>
      </c>
      <c r="I346" s="7"/>
      <c r="J346" s="8"/>
      <c r="K346" s="9"/>
    </row>
    <row r="347" spans="1:11" x14ac:dyDescent="0.25">
      <c r="A347" t="str">
        <f>"00093716505"</f>
        <v>00093716505</v>
      </c>
      <c r="B347" t="s">
        <v>484</v>
      </c>
      <c r="C347" t="s">
        <v>485</v>
      </c>
      <c r="D347">
        <v>500</v>
      </c>
      <c r="E347" s="10" t="s">
        <v>11</v>
      </c>
      <c r="F347" s="11">
        <v>100</v>
      </c>
      <c r="G347">
        <v>500</v>
      </c>
      <c r="I347" s="12"/>
      <c r="J347" s="8"/>
      <c r="K347" s="13"/>
    </row>
    <row r="348" spans="1:11" x14ac:dyDescent="0.25">
      <c r="A348" s="3" t="str">
        <f>"13811066010"</f>
        <v>13811066010</v>
      </c>
      <c r="B348" s="3" t="s">
        <v>484</v>
      </c>
      <c r="C348" s="3" t="s">
        <v>486</v>
      </c>
      <c r="D348" s="3">
        <v>100</v>
      </c>
      <c r="E348" s="4" t="s">
        <v>11</v>
      </c>
      <c r="F348" s="5">
        <v>200</v>
      </c>
      <c r="G348" s="3">
        <v>100</v>
      </c>
      <c r="I348" s="7"/>
      <c r="J348" s="8"/>
      <c r="K348" s="9"/>
    </row>
    <row r="349" spans="1:11" x14ac:dyDescent="0.25">
      <c r="B349" t="s">
        <v>487</v>
      </c>
      <c r="C349" t="s">
        <v>487</v>
      </c>
      <c r="G349">
        <v>0</v>
      </c>
      <c r="I349" s="12"/>
      <c r="J349" s="8"/>
      <c r="K349" s="13"/>
    </row>
    <row r="350" spans="1:11" x14ac:dyDescent="0.25">
      <c r="A350" s="3"/>
      <c r="B350" s="3" t="s">
        <v>488</v>
      </c>
      <c r="C350" s="3" t="s">
        <v>488</v>
      </c>
      <c r="D350" s="3"/>
      <c r="E350" s="4"/>
      <c r="F350" s="5"/>
      <c r="G350" s="3">
        <v>0</v>
      </c>
      <c r="I350" s="7"/>
      <c r="J350" s="8"/>
      <c r="K350" s="9"/>
    </row>
    <row r="351" spans="1:11" x14ac:dyDescent="0.25">
      <c r="B351" t="s">
        <v>489</v>
      </c>
      <c r="C351" t="s">
        <v>489</v>
      </c>
      <c r="G351">
        <v>0</v>
      </c>
      <c r="I351" s="12"/>
      <c r="J351" s="8"/>
      <c r="K351" s="13"/>
    </row>
    <row r="352" spans="1:11" x14ac:dyDescent="0.25">
      <c r="A352" s="3" t="str">
        <f>"00093417774"</f>
        <v>00093417774</v>
      </c>
      <c r="B352" s="3" t="s">
        <v>490</v>
      </c>
      <c r="C352" s="3" t="s">
        <v>491</v>
      </c>
      <c r="D352" s="3">
        <v>200</v>
      </c>
      <c r="E352" s="4" t="s">
        <v>438</v>
      </c>
      <c r="F352" s="5">
        <v>250</v>
      </c>
      <c r="G352" s="3">
        <v>200</v>
      </c>
      <c r="I352" s="7"/>
      <c r="J352" s="8"/>
      <c r="K352" s="9"/>
    </row>
    <row r="353" spans="1:11" x14ac:dyDescent="0.25">
      <c r="A353" t="str">
        <f>"00093314701"</f>
        <v>00093314701</v>
      </c>
      <c r="B353" t="s">
        <v>490</v>
      </c>
      <c r="C353" t="s">
        <v>492</v>
      </c>
      <c r="D353">
        <v>100</v>
      </c>
      <c r="E353" s="10" t="s">
        <v>11</v>
      </c>
      <c r="F353" s="11">
        <v>500</v>
      </c>
      <c r="G353">
        <v>100</v>
      </c>
      <c r="I353" s="12"/>
      <c r="J353" s="8"/>
      <c r="K353" s="13"/>
    </row>
    <row r="354" spans="1:11" x14ac:dyDescent="0.25">
      <c r="A354" s="3" t="str">
        <f>"68180012202"</f>
        <v>68180012202</v>
      </c>
      <c r="B354" s="3" t="s">
        <v>490</v>
      </c>
      <c r="C354" s="3" t="s">
        <v>493</v>
      </c>
      <c r="D354" s="3">
        <v>500</v>
      </c>
      <c r="E354" s="4" t="s">
        <v>11</v>
      </c>
      <c r="F354" s="5">
        <v>500</v>
      </c>
      <c r="G354" s="3">
        <v>500</v>
      </c>
      <c r="I354" s="7"/>
      <c r="J354" s="8"/>
      <c r="K354" s="9"/>
    </row>
    <row r="355" spans="1:11" x14ac:dyDescent="0.25">
      <c r="A355" t="str">
        <f>"45802091987"</f>
        <v>45802091987</v>
      </c>
      <c r="B355" t="s">
        <v>494</v>
      </c>
      <c r="C355" t="s">
        <v>495</v>
      </c>
      <c r="D355">
        <v>300</v>
      </c>
      <c r="E355" s="10" t="s">
        <v>11</v>
      </c>
      <c r="F355" s="11">
        <v>10</v>
      </c>
      <c r="G355">
        <v>300</v>
      </c>
      <c r="I355" s="12"/>
      <c r="J355" s="8"/>
      <c r="K355" s="13"/>
    </row>
    <row r="356" spans="1:11" x14ac:dyDescent="0.25">
      <c r="A356" s="3" t="str">
        <f>"51079014120"</f>
        <v>51079014120</v>
      </c>
      <c r="B356" s="3" t="s">
        <v>496</v>
      </c>
      <c r="C356" s="3" t="s">
        <v>497</v>
      </c>
      <c r="D356" s="3">
        <v>100</v>
      </c>
      <c r="E356" s="4" t="s">
        <v>11</v>
      </c>
      <c r="F356" s="5">
        <v>25</v>
      </c>
      <c r="G356" s="3">
        <v>100</v>
      </c>
      <c r="I356" s="7"/>
      <c r="J356" s="8"/>
      <c r="K356" s="9"/>
    </row>
    <row r="357" spans="1:11" x14ac:dyDescent="0.25">
      <c r="A357" t="str">
        <f>"52376002102"</f>
        <v>52376002102</v>
      </c>
      <c r="B357" t="s">
        <v>498</v>
      </c>
      <c r="C357" t="s">
        <v>499</v>
      </c>
      <c r="D357">
        <v>473</v>
      </c>
      <c r="E357" s="10" t="s">
        <v>500</v>
      </c>
      <c r="F357" s="11">
        <v>1.1999999999999999E-3</v>
      </c>
      <c r="G357">
        <v>473</v>
      </c>
      <c r="I357" s="12"/>
      <c r="J357" s="8"/>
      <c r="K357" s="13"/>
    </row>
    <row r="358" spans="1:11" x14ac:dyDescent="0.25">
      <c r="A358" s="3" t="str">
        <f>"00832030300"</f>
        <v>00832030300</v>
      </c>
      <c r="B358" s="3" t="s">
        <v>501</v>
      </c>
      <c r="C358" s="3" t="s">
        <v>502</v>
      </c>
      <c r="D358" s="3">
        <v>100</v>
      </c>
      <c r="E358" s="4" t="s">
        <v>11</v>
      </c>
      <c r="F358" s="5">
        <v>100</v>
      </c>
      <c r="G358" s="3">
        <v>100</v>
      </c>
      <c r="I358" s="7"/>
      <c r="J358" s="8"/>
      <c r="K358" s="9"/>
    </row>
    <row r="359" spans="1:11" x14ac:dyDescent="0.25">
      <c r="A359" t="str">
        <f>"00781591601"</f>
        <v>00781591601</v>
      </c>
      <c r="B359" t="s">
        <v>501</v>
      </c>
      <c r="C359" t="s">
        <v>502</v>
      </c>
      <c r="D359">
        <v>100</v>
      </c>
      <c r="E359" s="10" t="s">
        <v>11</v>
      </c>
      <c r="F359" s="11">
        <v>100</v>
      </c>
      <c r="G359">
        <v>100</v>
      </c>
      <c r="I359" s="12"/>
      <c r="J359" s="8"/>
      <c r="K359" s="13"/>
    </row>
    <row r="360" spans="1:11" x14ac:dyDescent="0.25">
      <c r="A360" s="3" t="str">
        <f>"00832030310"</f>
        <v>00832030310</v>
      </c>
      <c r="B360" s="3" t="s">
        <v>501</v>
      </c>
      <c r="C360" s="3" t="s">
        <v>503</v>
      </c>
      <c r="D360" s="3">
        <v>1000</v>
      </c>
      <c r="E360" s="4" t="s">
        <v>11</v>
      </c>
      <c r="F360" s="5">
        <v>100</v>
      </c>
      <c r="G360" s="3">
        <v>1000</v>
      </c>
      <c r="I360" s="7"/>
      <c r="J360" s="8"/>
      <c r="K360" s="9"/>
    </row>
    <row r="361" spans="1:11" x14ac:dyDescent="0.25">
      <c r="A361" t="str">
        <f>"00832030400"</f>
        <v>00832030400</v>
      </c>
      <c r="B361" t="s">
        <v>501</v>
      </c>
      <c r="C361" t="s">
        <v>504</v>
      </c>
      <c r="D361">
        <v>100</v>
      </c>
      <c r="E361" s="10" t="s">
        <v>11</v>
      </c>
      <c r="F361" s="11">
        <v>200</v>
      </c>
      <c r="G361">
        <v>100</v>
      </c>
      <c r="I361" s="12"/>
      <c r="J361" s="8"/>
      <c r="K361" s="13"/>
    </row>
    <row r="362" spans="1:11" x14ac:dyDescent="0.25">
      <c r="A362" s="3" t="str">
        <f>"00832030410"</f>
        <v>00832030410</v>
      </c>
      <c r="B362" s="3" t="s">
        <v>501</v>
      </c>
      <c r="C362" s="3" t="s">
        <v>505</v>
      </c>
      <c r="D362" s="3">
        <v>1000</v>
      </c>
      <c r="E362" s="4" t="s">
        <v>11</v>
      </c>
      <c r="F362" s="5">
        <v>200</v>
      </c>
      <c r="G362" s="3">
        <v>1000</v>
      </c>
      <c r="I362" s="7"/>
      <c r="J362" s="8"/>
      <c r="K362" s="9"/>
    </row>
    <row r="363" spans="1:11" x14ac:dyDescent="0.25">
      <c r="A363" t="str">
        <f>"00832030100"</f>
        <v>00832030100</v>
      </c>
      <c r="B363" t="s">
        <v>501</v>
      </c>
      <c r="C363" t="s">
        <v>506</v>
      </c>
      <c r="D363">
        <v>100</v>
      </c>
      <c r="E363" s="10" t="s">
        <v>11</v>
      </c>
      <c r="F363" s="11">
        <v>25</v>
      </c>
      <c r="G363">
        <v>100</v>
      </c>
      <c r="I363" s="12"/>
      <c r="J363" s="8"/>
      <c r="K363" s="13"/>
    </row>
    <row r="364" spans="1:11" x14ac:dyDescent="0.25">
      <c r="A364" s="3" t="str">
        <f>"00641139735"</f>
        <v>00641139735</v>
      </c>
      <c r="B364" s="3" t="s">
        <v>501</v>
      </c>
      <c r="C364" s="3" t="s">
        <v>507</v>
      </c>
      <c r="D364" s="3">
        <v>25</v>
      </c>
      <c r="E364" s="4" t="s">
        <v>20</v>
      </c>
      <c r="F364" s="5">
        <v>25</v>
      </c>
      <c r="G364" s="3">
        <v>1</v>
      </c>
      <c r="I364" s="7"/>
      <c r="J364" s="8"/>
      <c r="K364" s="9"/>
    </row>
    <row r="365" spans="1:11" x14ac:dyDescent="0.25">
      <c r="A365" t="str">
        <f>"00641139835"</f>
        <v>00641139835</v>
      </c>
      <c r="B365" t="s">
        <v>501</v>
      </c>
      <c r="C365" t="s">
        <v>508</v>
      </c>
      <c r="D365">
        <v>50</v>
      </c>
      <c r="E365" s="10" t="s">
        <v>20</v>
      </c>
      <c r="F365" s="11">
        <v>25</v>
      </c>
      <c r="G365">
        <v>2</v>
      </c>
      <c r="I365" s="12"/>
      <c r="J365" s="8"/>
      <c r="K365" s="13"/>
    </row>
    <row r="366" spans="1:11" x14ac:dyDescent="0.25">
      <c r="A366" s="3" t="str">
        <f>"00832030200"</f>
        <v>00832030200</v>
      </c>
      <c r="B366" s="3" t="s">
        <v>501</v>
      </c>
      <c r="C366" s="3" t="s">
        <v>509</v>
      </c>
      <c r="D366" s="3">
        <v>100</v>
      </c>
      <c r="E366" s="4" t="s">
        <v>11</v>
      </c>
      <c r="F366" s="5">
        <v>50</v>
      </c>
      <c r="G366" s="3">
        <v>100</v>
      </c>
      <c r="I366" s="7"/>
      <c r="J366" s="8"/>
      <c r="K366" s="9"/>
    </row>
    <row r="367" spans="1:11" x14ac:dyDescent="0.25">
      <c r="A367" t="str">
        <f>"00378022201"</f>
        <v>00378022201</v>
      </c>
      <c r="B367" t="s">
        <v>510</v>
      </c>
      <c r="C367" t="s">
        <v>511</v>
      </c>
      <c r="D367">
        <v>100</v>
      </c>
      <c r="E367" s="10" t="s">
        <v>11</v>
      </c>
      <c r="F367" s="11">
        <v>25</v>
      </c>
      <c r="G367">
        <v>100</v>
      </c>
      <c r="I367" s="12"/>
      <c r="J367" s="8"/>
      <c r="K367" s="13"/>
    </row>
    <row r="368" spans="1:11" x14ac:dyDescent="0.25">
      <c r="A368" s="3" t="str">
        <f>"00378022210"</f>
        <v>00378022210</v>
      </c>
      <c r="B368" s="3" t="s">
        <v>510</v>
      </c>
      <c r="C368" s="3" t="s">
        <v>512</v>
      </c>
      <c r="D368" s="3">
        <v>1000</v>
      </c>
      <c r="E368" s="4" t="s">
        <v>11</v>
      </c>
      <c r="F368" s="5">
        <v>25</v>
      </c>
      <c r="G368" s="3">
        <v>1000</v>
      </c>
      <c r="I368" s="7"/>
      <c r="J368" s="8"/>
      <c r="K368" s="9"/>
    </row>
    <row r="369" spans="1:11" x14ac:dyDescent="0.25">
      <c r="A369" t="str">
        <f>"00378021301"</f>
        <v>00378021301</v>
      </c>
      <c r="B369" t="s">
        <v>510</v>
      </c>
      <c r="C369" t="s">
        <v>513</v>
      </c>
      <c r="D369">
        <v>100</v>
      </c>
      <c r="E369" s="10" t="s">
        <v>11</v>
      </c>
      <c r="F369" s="11">
        <v>50</v>
      </c>
      <c r="G369">
        <v>100</v>
      </c>
      <c r="I369" s="12"/>
      <c r="J369" s="8"/>
      <c r="K369" s="13"/>
    </row>
    <row r="370" spans="1:11" x14ac:dyDescent="0.25">
      <c r="A370" s="3" t="str">
        <f>"49884046565"</f>
        <v>49884046565</v>
      </c>
      <c r="B370" s="3" t="s">
        <v>514</v>
      </c>
      <c r="C370" s="3" t="s">
        <v>515</v>
      </c>
      <c r="D370" s="3">
        <v>240</v>
      </c>
      <c r="E370" s="4"/>
      <c r="F370" s="5"/>
      <c r="G370" s="3">
        <v>60</v>
      </c>
      <c r="I370" s="7"/>
      <c r="J370" s="8"/>
      <c r="K370" s="9"/>
    </row>
    <row r="371" spans="1:11" x14ac:dyDescent="0.25">
      <c r="A371" t="str">
        <f>"00054004421"</f>
        <v>00054004421</v>
      </c>
      <c r="B371" t="s">
        <v>516</v>
      </c>
      <c r="C371" t="s">
        <v>517</v>
      </c>
      <c r="D371">
        <v>60</v>
      </c>
      <c r="E371" s="10" t="s">
        <v>11</v>
      </c>
      <c r="F371" s="11">
        <v>100</v>
      </c>
      <c r="G371">
        <v>60</v>
      </c>
      <c r="I371" s="12"/>
      <c r="J371" s="8"/>
      <c r="K371" s="13"/>
    </row>
    <row r="372" spans="1:11" x14ac:dyDescent="0.25">
      <c r="A372" s="3" t="str">
        <f>"00093206506"</f>
        <v>00093206506</v>
      </c>
      <c r="B372" s="3" t="s">
        <v>516</v>
      </c>
      <c r="C372" s="3" t="s">
        <v>518</v>
      </c>
      <c r="D372" s="3">
        <v>60</v>
      </c>
      <c r="E372" s="4" t="s">
        <v>11</v>
      </c>
      <c r="F372" s="5">
        <v>50</v>
      </c>
      <c r="G372" s="3">
        <v>60</v>
      </c>
      <c r="I372" s="7"/>
      <c r="J372" s="8"/>
      <c r="K372" s="9"/>
    </row>
    <row r="373" spans="1:11" x14ac:dyDescent="0.25">
      <c r="A373" t="str">
        <f>"00065853302"</f>
        <v>00065853302</v>
      </c>
      <c r="B373" t="s">
        <v>519</v>
      </c>
      <c r="C373" t="s">
        <v>520</v>
      </c>
      <c r="D373">
        <v>7.5</v>
      </c>
      <c r="E373" s="10" t="s">
        <v>36</v>
      </c>
      <c r="F373" s="11" t="s">
        <v>521</v>
      </c>
      <c r="G373">
        <v>7.5</v>
      </c>
      <c r="I373" s="12"/>
      <c r="J373" s="8"/>
      <c r="K373" s="13"/>
    </row>
    <row r="374" spans="1:11" x14ac:dyDescent="0.25">
      <c r="A374" s="3" t="str">
        <f>"16571012050"</f>
        <v>16571012050</v>
      </c>
      <c r="B374" s="3" t="s">
        <v>522</v>
      </c>
      <c r="C374" s="3" t="s">
        <v>523</v>
      </c>
      <c r="D374" s="3">
        <v>5</v>
      </c>
      <c r="E374" s="4" t="s">
        <v>36</v>
      </c>
      <c r="F374" s="5">
        <v>3.0000000000000001E-3</v>
      </c>
      <c r="G374" s="3">
        <v>5</v>
      </c>
      <c r="I374" s="7"/>
      <c r="J374" s="8"/>
      <c r="K374" s="9"/>
    </row>
    <row r="375" spans="1:11" x14ac:dyDescent="0.25">
      <c r="A375" t="str">
        <f>"61314065605"</f>
        <v>61314065605</v>
      </c>
      <c r="B375" t="s">
        <v>522</v>
      </c>
      <c r="C375" t="s">
        <v>523</v>
      </c>
      <c r="D375">
        <v>5</v>
      </c>
      <c r="E375" s="10" t="s">
        <v>36</v>
      </c>
      <c r="F375" s="11">
        <v>3.0000000000000001E-3</v>
      </c>
      <c r="G375">
        <v>5</v>
      </c>
      <c r="I375" s="12"/>
      <c r="J375" s="8"/>
      <c r="K375" s="13"/>
    </row>
    <row r="376" spans="1:11" x14ac:dyDescent="0.25">
      <c r="A376" s="3" t="str">
        <f>"55111012601"</f>
        <v>55111012601</v>
      </c>
      <c r="B376" s="3" t="s">
        <v>522</v>
      </c>
      <c r="C376" s="3" t="s">
        <v>524</v>
      </c>
      <c r="D376" s="3">
        <v>100</v>
      </c>
      <c r="E376" s="4" t="s">
        <v>11</v>
      </c>
      <c r="F376" s="5">
        <v>250</v>
      </c>
      <c r="G376" s="3">
        <v>100</v>
      </c>
      <c r="I376" s="7"/>
      <c r="J376" s="8"/>
      <c r="K376" s="9"/>
    </row>
    <row r="377" spans="1:11" x14ac:dyDescent="0.25">
      <c r="A377" t="str">
        <f>"51079018220"</f>
        <v>51079018220</v>
      </c>
      <c r="B377" t="s">
        <v>522</v>
      </c>
      <c r="C377" t="s">
        <v>525</v>
      </c>
      <c r="D377">
        <v>100</v>
      </c>
      <c r="E377" s="10" t="s">
        <v>11</v>
      </c>
      <c r="F377" s="11">
        <v>500</v>
      </c>
      <c r="G377">
        <v>100</v>
      </c>
      <c r="I377" s="12"/>
      <c r="J377" s="8"/>
      <c r="K377" s="13"/>
    </row>
    <row r="378" spans="1:11" x14ac:dyDescent="0.25">
      <c r="A378" s="3" t="str">
        <f>"00172531270"</f>
        <v>00172531270</v>
      </c>
      <c r="B378" s="3" t="s">
        <v>522</v>
      </c>
      <c r="C378" s="3" t="s">
        <v>526</v>
      </c>
      <c r="D378" s="3">
        <v>500</v>
      </c>
      <c r="E378" s="4" t="s">
        <v>11</v>
      </c>
      <c r="F378" s="5">
        <v>500</v>
      </c>
      <c r="G378" s="3">
        <v>500</v>
      </c>
      <c r="I378" s="7"/>
      <c r="J378" s="8"/>
      <c r="K378" s="9"/>
    </row>
    <row r="379" spans="1:11" x14ac:dyDescent="0.25">
      <c r="A379" t="str">
        <f>"16571041250"</f>
        <v>16571041250</v>
      </c>
      <c r="B379" t="s">
        <v>522</v>
      </c>
      <c r="C379" t="s">
        <v>526</v>
      </c>
      <c r="D379">
        <v>500</v>
      </c>
      <c r="E379" s="10" t="s">
        <v>11</v>
      </c>
      <c r="F379" s="11">
        <v>500</v>
      </c>
      <c r="G379">
        <v>500</v>
      </c>
      <c r="I379" s="12"/>
      <c r="J379" s="8"/>
      <c r="K379" s="13"/>
    </row>
    <row r="380" spans="1:11" x14ac:dyDescent="0.25">
      <c r="A380" s="3" t="str">
        <f>"65862007850"</f>
        <v>65862007850</v>
      </c>
      <c r="B380" s="3" t="s">
        <v>522</v>
      </c>
      <c r="C380" s="3" t="s">
        <v>527</v>
      </c>
      <c r="D380" s="3">
        <v>50</v>
      </c>
      <c r="E380" s="4" t="s">
        <v>11</v>
      </c>
      <c r="F380" s="5">
        <v>750</v>
      </c>
      <c r="G380" s="3">
        <v>50</v>
      </c>
      <c r="I380" s="7"/>
      <c r="J380" s="8"/>
      <c r="K380" s="9"/>
    </row>
    <row r="381" spans="1:11" x14ac:dyDescent="0.25">
      <c r="A381" t="str">
        <f>"00904608461"</f>
        <v>00904608461</v>
      </c>
      <c r="B381" t="s">
        <v>528</v>
      </c>
      <c r="C381" t="s">
        <v>529</v>
      </c>
      <c r="D381">
        <v>100</v>
      </c>
      <c r="E381" s="10" t="s">
        <v>530</v>
      </c>
      <c r="F381" s="11">
        <v>10</v>
      </c>
      <c r="G381">
        <v>100</v>
      </c>
      <c r="I381" s="12"/>
      <c r="J381" s="8"/>
      <c r="K381" s="13"/>
    </row>
    <row r="382" spans="1:11" x14ac:dyDescent="0.25">
      <c r="A382" s="3" t="str">
        <f>"65162005250"</f>
        <v>65162005250</v>
      </c>
      <c r="B382" s="3" t="s">
        <v>528</v>
      </c>
      <c r="C382" s="3" t="s">
        <v>531</v>
      </c>
      <c r="D382" s="3">
        <v>500</v>
      </c>
      <c r="E382" s="4" t="s">
        <v>11</v>
      </c>
      <c r="F382" s="5">
        <v>10</v>
      </c>
      <c r="G382" s="3">
        <v>500</v>
      </c>
      <c r="I382" s="7"/>
      <c r="J382" s="8"/>
      <c r="K382" s="9"/>
    </row>
    <row r="383" spans="1:11" x14ac:dyDescent="0.25">
      <c r="A383" t="str">
        <f>"54838054070"</f>
        <v>54838054070</v>
      </c>
      <c r="B383" t="s">
        <v>528</v>
      </c>
      <c r="C383" t="s">
        <v>532</v>
      </c>
      <c r="D383">
        <v>240</v>
      </c>
      <c r="E383" s="10" t="s">
        <v>438</v>
      </c>
      <c r="F383" s="11">
        <v>10</v>
      </c>
      <c r="G383">
        <v>240</v>
      </c>
      <c r="I383" s="12"/>
      <c r="J383" s="8"/>
      <c r="K383" s="13"/>
    </row>
    <row r="384" spans="1:11" x14ac:dyDescent="0.25">
      <c r="A384" s="3" t="str">
        <f>"00904608561"</f>
        <v>00904608561</v>
      </c>
      <c r="B384" s="3" t="s">
        <v>528</v>
      </c>
      <c r="C384" s="3" t="s">
        <v>533</v>
      </c>
      <c r="D384" s="3">
        <v>100</v>
      </c>
      <c r="E384" s="4" t="s">
        <v>530</v>
      </c>
      <c r="F384" s="5">
        <v>20</v>
      </c>
      <c r="G384" s="3">
        <v>100</v>
      </c>
      <c r="I384" s="7"/>
      <c r="J384" s="8"/>
      <c r="K384" s="9"/>
    </row>
    <row r="385" spans="1:11" x14ac:dyDescent="0.25">
      <c r="A385" t="str">
        <f>"65162005350"</f>
        <v>65162005350</v>
      </c>
      <c r="B385" t="s">
        <v>528</v>
      </c>
      <c r="C385" t="s">
        <v>534</v>
      </c>
      <c r="D385">
        <v>500</v>
      </c>
      <c r="E385" s="10" t="s">
        <v>11</v>
      </c>
      <c r="F385" s="11">
        <v>20</v>
      </c>
      <c r="G385">
        <v>500</v>
      </c>
      <c r="I385" s="12"/>
      <c r="J385" s="8"/>
      <c r="K385" s="13"/>
    </row>
    <row r="386" spans="1:11" x14ac:dyDescent="0.25">
      <c r="A386" s="3" t="str">
        <f>"00904608661"</f>
        <v>00904608661</v>
      </c>
      <c r="B386" s="3" t="s">
        <v>528</v>
      </c>
      <c r="C386" s="3" t="s">
        <v>535</v>
      </c>
      <c r="D386" s="3">
        <v>100</v>
      </c>
      <c r="E386" s="4" t="s">
        <v>530</v>
      </c>
      <c r="F386" s="5">
        <v>40</v>
      </c>
      <c r="G386" s="3">
        <v>100</v>
      </c>
      <c r="I386" s="7"/>
      <c r="J386" s="8"/>
      <c r="K386" s="9"/>
    </row>
    <row r="387" spans="1:11" x14ac:dyDescent="0.25">
      <c r="A387" t="str">
        <f>"65162005450"</f>
        <v>65162005450</v>
      </c>
      <c r="B387" t="s">
        <v>528</v>
      </c>
      <c r="C387" t="s">
        <v>536</v>
      </c>
      <c r="D387">
        <v>500</v>
      </c>
      <c r="E387" s="10" t="s">
        <v>11</v>
      </c>
      <c r="F387" s="11">
        <v>40</v>
      </c>
      <c r="G387">
        <v>500</v>
      </c>
      <c r="I387" s="12"/>
      <c r="J387" s="8"/>
      <c r="K387" s="13"/>
    </row>
    <row r="388" spans="1:11" x14ac:dyDescent="0.25">
      <c r="A388" s="3" t="str">
        <f>"00591570801"</f>
        <v>00591570801</v>
      </c>
      <c r="B388" s="3" t="s">
        <v>537</v>
      </c>
      <c r="C388" s="3" t="s">
        <v>538</v>
      </c>
      <c r="D388" s="3">
        <v>100</v>
      </c>
      <c r="E388" s="4" t="s">
        <v>11</v>
      </c>
      <c r="F388" s="5">
        <v>150</v>
      </c>
      <c r="G388" s="3">
        <v>100</v>
      </c>
      <c r="I388" s="7"/>
      <c r="J388" s="8"/>
      <c r="K388" s="9"/>
    </row>
    <row r="389" spans="1:11" x14ac:dyDescent="0.25">
      <c r="A389" t="str">
        <f>"68084024301"</f>
        <v>68084024301</v>
      </c>
      <c r="B389" t="s">
        <v>537</v>
      </c>
      <c r="C389" t="s">
        <v>539</v>
      </c>
      <c r="D389">
        <v>100</v>
      </c>
      <c r="E389" s="10" t="s">
        <v>11</v>
      </c>
      <c r="F389" s="11">
        <v>150</v>
      </c>
      <c r="G389">
        <v>100</v>
      </c>
      <c r="I389" s="12"/>
      <c r="J389" s="8"/>
      <c r="K389" s="13"/>
    </row>
    <row r="390" spans="1:11" x14ac:dyDescent="0.25">
      <c r="A390" s="3" t="str">
        <f>"68084024401"</f>
        <v>68084024401</v>
      </c>
      <c r="B390" s="3" t="s">
        <v>537</v>
      </c>
      <c r="C390" s="3" t="s">
        <v>540</v>
      </c>
      <c r="D390" s="3">
        <v>100</v>
      </c>
      <c r="E390" s="4" t="s">
        <v>11</v>
      </c>
      <c r="F390" s="5">
        <v>300</v>
      </c>
      <c r="G390" s="3">
        <v>100</v>
      </c>
      <c r="I390" s="7"/>
      <c r="J390" s="8"/>
      <c r="K390" s="9"/>
    </row>
    <row r="391" spans="1:11" x14ac:dyDescent="0.25">
      <c r="A391" t="str">
        <f>"59762374301"</f>
        <v>59762374301</v>
      </c>
      <c r="B391" t="s">
        <v>541</v>
      </c>
      <c r="C391" t="s">
        <v>542</v>
      </c>
      <c r="D391">
        <v>30</v>
      </c>
      <c r="E391" s="10" t="s">
        <v>48</v>
      </c>
      <c r="F391" s="11">
        <v>0.01</v>
      </c>
      <c r="G391">
        <v>30</v>
      </c>
      <c r="I391" s="12"/>
      <c r="J391" s="8"/>
      <c r="K391" s="13"/>
    </row>
    <row r="392" spans="1:11" x14ac:dyDescent="0.25">
      <c r="A392" s="3" t="str">
        <f>"59762374401"</f>
        <v>59762374401</v>
      </c>
      <c r="B392" s="3" t="s">
        <v>541</v>
      </c>
      <c r="C392" s="3" t="s">
        <v>543</v>
      </c>
      <c r="D392" s="3">
        <v>60</v>
      </c>
      <c r="E392" s="4" t="s">
        <v>48</v>
      </c>
      <c r="F392" s="5">
        <v>0.01</v>
      </c>
      <c r="G392" s="3">
        <v>60</v>
      </c>
      <c r="I392" s="7"/>
      <c r="J392" s="8"/>
      <c r="K392" s="9"/>
    </row>
    <row r="393" spans="1:11" x14ac:dyDescent="0.25">
      <c r="A393" t="str">
        <f>"59762372801"</f>
        <v>59762372801</v>
      </c>
      <c r="B393" t="s">
        <v>541</v>
      </c>
      <c r="C393" t="s">
        <v>544</v>
      </c>
      <c r="D393">
        <v>30</v>
      </c>
      <c r="E393" s="10" t="s">
        <v>36</v>
      </c>
      <c r="F393" s="11">
        <v>0.01</v>
      </c>
      <c r="G393">
        <v>30</v>
      </c>
      <c r="I393" s="12"/>
      <c r="J393" s="8"/>
      <c r="K393" s="13"/>
    </row>
    <row r="394" spans="1:11" x14ac:dyDescent="0.25">
      <c r="A394" s="3" t="str">
        <f>"00168027740"</f>
        <v>00168027740</v>
      </c>
      <c r="B394" s="3" t="s">
        <v>541</v>
      </c>
      <c r="C394" s="3" t="s">
        <v>545</v>
      </c>
      <c r="D394" s="3">
        <v>40</v>
      </c>
      <c r="E394" s="4" t="s">
        <v>48</v>
      </c>
      <c r="F394" s="5">
        <v>0.02</v>
      </c>
      <c r="G394" s="3">
        <v>40</v>
      </c>
      <c r="I394" s="7"/>
      <c r="J394" s="8"/>
      <c r="K394" s="9"/>
    </row>
    <row r="395" spans="1:11" x14ac:dyDescent="0.25">
      <c r="A395" t="str">
        <f>"63323028202"</f>
        <v>63323028202</v>
      </c>
      <c r="B395" t="s">
        <v>541</v>
      </c>
      <c r="C395" t="s">
        <v>546</v>
      </c>
      <c r="D395">
        <v>50</v>
      </c>
      <c r="E395" s="10" t="s">
        <v>11</v>
      </c>
      <c r="F395" s="11">
        <v>300</v>
      </c>
      <c r="G395">
        <v>2</v>
      </c>
      <c r="I395" s="12"/>
      <c r="J395" s="8"/>
      <c r="K395" s="13"/>
    </row>
    <row r="396" spans="1:11" x14ac:dyDescent="0.25">
      <c r="A396" s="3" t="str">
        <f>"25021011504"</f>
        <v>25021011504</v>
      </c>
      <c r="B396" s="3" t="s">
        <v>541</v>
      </c>
      <c r="C396" s="3" t="s">
        <v>547</v>
      </c>
      <c r="D396" s="3">
        <v>100</v>
      </c>
      <c r="E396" s="4" t="s">
        <v>20</v>
      </c>
      <c r="F396" s="5">
        <v>150</v>
      </c>
      <c r="G396" s="3">
        <v>4</v>
      </c>
      <c r="I396" s="7"/>
      <c r="J396" s="8"/>
      <c r="K396" s="9"/>
    </row>
    <row r="397" spans="1:11" x14ac:dyDescent="0.25">
      <c r="A397" t="str">
        <f>"51672125801"</f>
        <v>51672125801</v>
      </c>
      <c r="B397" t="s">
        <v>548</v>
      </c>
      <c r="C397" t="s">
        <v>549</v>
      </c>
      <c r="D397">
        <v>15</v>
      </c>
      <c r="E397" s="10" t="s">
        <v>48</v>
      </c>
      <c r="F397" s="11">
        <v>5.0000000000000001E-4</v>
      </c>
      <c r="G397">
        <v>15</v>
      </c>
      <c r="I397" s="12"/>
      <c r="J397" s="8"/>
      <c r="K397" s="13"/>
    </row>
    <row r="398" spans="1:11" x14ac:dyDescent="0.25">
      <c r="A398" s="3" t="str">
        <f>"50383026715"</f>
        <v>50383026715</v>
      </c>
      <c r="B398" s="3" t="s">
        <v>548</v>
      </c>
      <c r="C398" s="3" t="s">
        <v>549</v>
      </c>
      <c r="D398" s="3">
        <v>15</v>
      </c>
      <c r="E398" s="4" t="s">
        <v>48</v>
      </c>
      <c r="F398" s="5">
        <v>5.0000000000000001E-4</v>
      </c>
      <c r="G398" s="3">
        <v>15</v>
      </c>
      <c r="I398" s="7"/>
      <c r="J398" s="8"/>
      <c r="K398" s="9"/>
    </row>
    <row r="399" spans="1:11" x14ac:dyDescent="0.25">
      <c r="A399" t="str">
        <f>"51672125802"</f>
        <v>51672125802</v>
      </c>
      <c r="B399" t="s">
        <v>548</v>
      </c>
      <c r="C399" t="s">
        <v>550</v>
      </c>
      <c r="D399">
        <v>30</v>
      </c>
      <c r="E399" s="10" t="s">
        <v>48</v>
      </c>
      <c r="F399" s="11">
        <v>5.0000000000000001E-4</v>
      </c>
      <c r="G399">
        <v>30</v>
      </c>
      <c r="I399" s="12"/>
      <c r="J399" s="8"/>
      <c r="K399" s="13"/>
    </row>
    <row r="400" spans="1:11" x14ac:dyDescent="0.25">
      <c r="A400" s="3" t="str">
        <f>"00168016330"</f>
        <v>00168016330</v>
      </c>
      <c r="B400" s="3" t="s">
        <v>548</v>
      </c>
      <c r="C400" s="3" t="s">
        <v>550</v>
      </c>
      <c r="D400" s="3">
        <v>30</v>
      </c>
      <c r="E400" s="4" t="s">
        <v>48</v>
      </c>
      <c r="F400" s="5">
        <v>5.0000000000000001E-4</v>
      </c>
      <c r="G400" s="3">
        <v>30</v>
      </c>
      <c r="I400" s="7"/>
      <c r="J400" s="8"/>
      <c r="K400" s="9"/>
    </row>
    <row r="401" spans="1:11" x14ac:dyDescent="0.25">
      <c r="A401" t="str">
        <f>"50383026730"</f>
        <v>50383026730</v>
      </c>
      <c r="B401" t="s">
        <v>548</v>
      </c>
      <c r="C401" t="s">
        <v>550</v>
      </c>
      <c r="D401">
        <v>30</v>
      </c>
      <c r="E401" s="10" t="s">
        <v>48</v>
      </c>
      <c r="F401" s="11">
        <v>5.0000000000000001E-4</v>
      </c>
      <c r="G401">
        <v>30</v>
      </c>
      <c r="I401" s="12"/>
      <c r="J401" s="8"/>
      <c r="K401" s="13"/>
    </row>
    <row r="402" spans="1:11" x14ac:dyDescent="0.25">
      <c r="A402" s="3" t="str">
        <f>"51672125803"</f>
        <v>51672125803</v>
      </c>
      <c r="B402" s="3" t="s">
        <v>548</v>
      </c>
      <c r="C402" s="3" t="s">
        <v>551</v>
      </c>
      <c r="D402" s="3">
        <v>60</v>
      </c>
      <c r="E402" s="4" t="s">
        <v>48</v>
      </c>
      <c r="F402" s="5">
        <v>5.0000000000000001E-4</v>
      </c>
      <c r="G402" s="3">
        <v>60</v>
      </c>
      <c r="I402" s="7"/>
      <c r="J402" s="8"/>
      <c r="K402" s="9"/>
    </row>
    <row r="403" spans="1:11" x14ac:dyDescent="0.25">
      <c r="A403" t="str">
        <f>"51672125901"</f>
        <v>51672125901</v>
      </c>
      <c r="B403" t="s">
        <v>548</v>
      </c>
      <c r="C403" t="s">
        <v>552</v>
      </c>
      <c r="D403">
        <v>15</v>
      </c>
      <c r="E403" s="10" t="s">
        <v>48</v>
      </c>
      <c r="F403" s="11">
        <v>5.0000000000000001E-4</v>
      </c>
      <c r="G403">
        <v>15</v>
      </c>
      <c r="I403" s="12"/>
      <c r="J403" s="8"/>
      <c r="K403" s="13"/>
    </row>
    <row r="404" spans="1:11" x14ac:dyDescent="0.25">
      <c r="A404" s="3" t="str">
        <f>"50383026830"</f>
        <v>50383026830</v>
      </c>
      <c r="B404" s="3" t="s">
        <v>548</v>
      </c>
      <c r="C404" s="3" t="s">
        <v>553</v>
      </c>
      <c r="D404" s="3">
        <v>30</v>
      </c>
      <c r="E404" s="4" t="s">
        <v>48</v>
      </c>
      <c r="F404" s="5">
        <v>5.0000000000000001E-4</v>
      </c>
      <c r="G404" s="3">
        <v>30</v>
      </c>
      <c r="I404" s="7"/>
      <c r="J404" s="8"/>
      <c r="K404" s="9"/>
    </row>
    <row r="405" spans="1:11" x14ac:dyDescent="0.25">
      <c r="A405" t="str">
        <f>"51672125902"</f>
        <v>51672125902</v>
      </c>
      <c r="B405" t="s">
        <v>548</v>
      </c>
      <c r="C405" t="s">
        <v>553</v>
      </c>
      <c r="D405">
        <v>30</v>
      </c>
      <c r="E405" s="10" t="s">
        <v>48</v>
      </c>
      <c r="F405" s="11">
        <v>5.0000000000000001E-4</v>
      </c>
      <c r="G405">
        <v>30</v>
      </c>
      <c r="I405" s="12"/>
      <c r="J405" s="8"/>
      <c r="K405" s="13"/>
    </row>
    <row r="406" spans="1:11" x14ac:dyDescent="0.25">
      <c r="A406" s="3" t="str">
        <f>"50383026860"</f>
        <v>50383026860</v>
      </c>
      <c r="B406" s="3" t="s">
        <v>548</v>
      </c>
      <c r="C406" s="3" t="s">
        <v>554</v>
      </c>
      <c r="D406" s="3">
        <v>60</v>
      </c>
      <c r="E406" s="4" t="s">
        <v>48</v>
      </c>
      <c r="F406" s="5">
        <v>5.0000000000000001E-4</v>
      </c>
      <c r="G406" s="3">
        <v>60</v>
      </c>
      <c r="I406" s="7"/>
      <c r="J406" s="8"/>
      <c r="K406" s="9"/>
    </row>
    <row r="407" spans="1:11" x14ac:dyDescent="0.25">
      <c r="A407" t="str">
        <f>"51672125903"</f>
        <v>51672125903</v>
      </c>
      <c r="B407" t="s">
        <v>548</v>
      </c>
      <c r="C407" t="s">
        <v>554</v>
      </c>
      <c r="D407">
        <v>60</v>
      </c>
      <c r="E407" s="10" t="s">
        <v>48</v>
      </c>
      <c r="F407" s="11">
        <v>5.0000000000000001E-4</v>
      </c>
      <c r="G407">
        <v>60</v>
      </c>
      <c r="I407" s="12"/>
      <c r="J407" s="8"/>
      <c r="K407" s="13"/>
    </row>
    <row r="408" spans="1:11" x14ac:dyDescent="0.25">
      <c r="A408" s="3" t="str">
        <f>"40085088850"</f>
        <v>40085088850</v>
      </c>
      <c r="B408" s="3" t="s">
        <v>548</v>
      </c>
      <c r="C408" s="3" t="s">
        <v>555</v>
      </c>
      <c r="D408" s="3">
        <v>50</v>
      </c>
      <c r="E408" s="4" t="s">
        <v>48</v>
      </c>
      <c r="F408" s="5">
        <v>5.0000000000000001E-4</v>
      </c>
      <c r="G408" s="3">
        <v>50</v>
      </c>
      <c r="I408" s="7"/>
      <c r="J408" s="8"/>
      <c r="K408" s="9"/>
    </row>
    <row r="409" spans="1:11" x14ac:dyDescent="0.25">
      <c r="A409" t="str">
        <f>"45802096126"</f>
        <v>45802096126</v>
      </c>
      <c r="B409" t="s">
        <v>548</v>
      </c>
      <c r="C409" t="s">
        <v>556</v>
      </c>
      <c r="D409">
        <v>4</v>
      </c>
      <c r="E409" s="10" t="s">
        <v>48</v>
      </c>
      <c r="F409" s="11">
        <v>5.0000000000000001E-4</v>
      </c>
      <c r="G409">
        <v>118</v>
      </c>
      <c r="I409" s="12"/>
      <c r="J409" s="8"/>
      <c r="K409" s="13"/>
    </row>
    <row r="410" spans="1:11" x14ac:dyDescent="0.25">
      <c r="A410" s="3" t="str">
        <f>"60432013325"</f>
        <v>60432013325</v>
      </c>
      <c r="B410" s="3" t="s">
        <v>548</v>
      </c>
      <c r="C410" s="3" t="s">
        <v>557</v>
      </c>
      <c r="D410" s="3">
        <v>25</v>
      </c>
      <c r="E410" s="4" t="s">
        <v>48</v>
      </c>
      <c r="F410" s="5">
        <v>5.0000000000000001E-4</v>
      </c>
      <c r="G410" s="3">
        <v>25</v>
      </c>
      <c r="I410" s="7"/>
      <c r="J410" s="8"/>
      <c r="K410" s="9"/>
    </row>
    <row r="411" spans="1:11" x14ac:dyDescent="0.25">
      <c r="A411" t="str">
        <f>"51672129302"</f>
        <v>51672129302</v>
      </c>
      <c r="B411" t="s">
        <v>548</v>
      </c>
      <c r="C411" t="s">
        <v>557</v>
      </c>
      <c r="D411">
        <v>25</v>
      </c>
      <c r="E411" s="10" t="s">
        <v>48</v>
      </c>
      <c r="F411" s="11">
        <v>5.0000000000000001E-4</v>
      </c>
      <c r="G411">
        <v>25</v>
      </c>
      <c r="I411" s="12"/>
      <c r="J411" s="8"/>
      <c r="K411" s="13"/>
    </row>
    <row r="412" spans="1:11" x14ac:dyDescent="0.25">
      <c r="A412" s="3" t="str">
        <f>"00168026950"</f>
        <v>00168026950</v>
      </c>
      <c r="B412" s="3" t="s">
        <v>548</v>
      </c>
      <c r="C412" s="3" t="s">
        <v>558</v>
      </c>
      <c r="D412" s="3">
        <v>50</v>
      </c>
      <c r="E412" s="4" t="s">
        <v>48</v>
      </c>
      <c r="F412" s="5">
        <v>5.0000000000000001E-4</v>
      </c>
      <c r="G412" s="3">
        <v>50</v>
      </c>
      <c r="I412" s="7"/>
      <c r="J412" s="8"/>
      <c r="K412" s="9"/>
    </row>
    <row r="413" spans="1:11" x14ac:dyDescent="0.25">
      <c r="A413" t="str">
        <f>"51672401105"</f>
        <v>51672401105</v>
      </c>
      <c r="B413" t="s">
        <v>559</v>
      </c>
      <c r="C413" t="s">
        <v>560</v>
      </c>
      <c r="D413">
        <v>90</v>
      </c>
      <c r="E413" s="10" t="s">
        <v>11</v>
      </c>
      <c r="F413" s="11">
        <v>25</v>
      </c>
      <c r="G413">
        <v>90</v>
      </c>
      <c r="I413" s="12"/>
      <c r="J413" s="8"/>
      <c r="K413" s="13"/>
    </row>
    <row r="414" spans="1:11" x14ac:dyDescent="0.25">
      <c r="A414" s="3" t="str">
        <f>"51672401205"</f>
        <v>51672401205</v>
      </c>
      <c r="B414" s="3" t="s">
        <v>559</v>
      </c>
      <c r="C414" s="3" t="s">
        <v>561</v>
      </c>
      <c r="D414" s="3">
        <v>90</v>
      </c>
      <c r="E414" s="4" t="s">
        <v>11</v>
      </c>
      <c r="F414" s="5">
        <v>50</v>
      </c>
      <c r="G414" s="3">
        <v>90</v>
      </c>
      <c r="I414" s="7"/>
      <c r="J414" s="8"/>
      <c r="K414" s="9"/>
    </row>
    <row r="415" spans="1:11" x14ac:dyDescent="0.25">
      <c r="A415" t="str">
        <f>"00406880801"</f>
        <v>00406880801</v>
      </c>
      <c r="B415" t="s">
        <v>559</v>
      </c>
      <c r="C415" t="s">
        <v>562</v>
      </c>
      <c r="D415">
        <v>100</v>
      </c>
      <c r="E415" s="10" t="s">
        <v>11</v>
      </c>
      <c r="F415" s="11">
        <v>75</v>
      </c>
      <c r="G415">
        <v>100</v>
      </c>
      <c r="I415" s="12"/>
      <c r="J415" s="8"/>
      <c r="K415" s="13"/>
    </row>
    <row r="416" spans="1:11" x14ac:dyDescent="0.25">
      <c r="A416" s="3" t="str">
        <f>"63739026310"</f>
        <v>63739026310</v>
      </c>
      <c r="B416" s="3" t="s">
        <v>563</v>
      </c>
      <c r="C416" s="3" t="s">
        <v>564</v>
      </c>
      <c r="D416" s="3">
        <v>100</v>
      </c>
      <c r="E416" s="4" t="s">
        <v>11</v>
      </c>
      <c r="F416" s="5">
        <v>0.5</v>
      </c>
      <c r="G416" s="3">
        <v>100</v>
      </c>
      <c r="I416" s="7"/>
      <c r="J416" s="8"/>
      <c r="K416" s="9"/>
    </row>
    <row r="417" spans="1:11" x14ac:dyDescent="0.25">
      <c r="A417" t="str">
        <f>"00904610161"</f>
        <v>00904610161</v>
      </c>
      <c r="B417" t="s">
        <v>563</v>
      </c>
      <c r="C417" t="s">
        <v>564</v>
      </c>
      <c r="D417">
        <v>100</v>
      </c>
      <c r="E417" s="10" t="s">
        <v>11</v>
      </c>
      <c r="F417" s="11">
        <v>0.5</v>
      </c>
      <c r="G417">
        <v>100</v>
      </c>
      <c r="I417" s="12"/>
      <c r="J417" s="8"/>
      <c r="K417" s="13"/>
    </row>
    <row r="418" spans="1:11" x14ac:dyDescent="0.25">
      <c r="A418" s="3" t="str">
        <f>"00904610261"</f>
        <v>00904610261</v>
      </c>
      <c r="B418" s="3" t="s">
        <v>563</v>
      </c>
      <c r="C418" s="3" t="s">
        <v>565</v>
      </c>
      <c r="D418" s="3">
        <v>100</v>
      </c>
      <c r="E418" s="4" t="s">
        <v>11</v>
      </c>
      <c r="F418" s="5">
        <v>1</v>
      </c>
      <c r="G418" s="3">
        <v>100</v>
      </c>
      <c r="I418" s="7"/>
      <c r="J418" s="8"/>
      <c r="K418" s="9"/>
    </row>
    <row r="419" spans="1:11" x14ac:dyDescent="0.25">
      <c r="A419" t="str">
        <f>"51862045404"</f>
        <v>51862045404</v>
      </c>
      <c r="B419" t="s">
        <v>566</v>
      </c>
      <c r="C419" t="s">
        <v>567</v>
      </c>
      <c r="D419">
        <v>4</v>
      </c>
      <c r="E419" s="10" t="s">
        <v>11</v>
      </c>
      <c r="F419" s="11">
        <v>0.2</v>
      </c>
      <c r="G419">
        <v>4</v>
      </c>
      <c r="I419" s="12"/>
      <c r="J419" s="8"/>
      <c r="K419" s="13"/>
    </row>
    <row r="420" spans="1:11" x14ac:dyDescent="0.25">
      <c r="A420" s="3" t="str">
        <f>"68001023700"</f>
        <v>68001023700</v>
      </c>
      <c r="B420" s="3" t="s">
        <v>568</v>
      </c>
      <c r="C420" s="3" t="s">
        <v>569</v>
      </c>
      <c r="D420" s="3">
        <v>100</v>
      </c>
      <c r="E420" s="4" t="s">
        <v>11</v>
      </c>
      <c r="F420" s="5">
        <v>0.1</v>
      </c>
      <c r="G420" s="3">
        <v>100</v>
      </c>
      <c r="I420" s="7"/>
      <c r="J420" s="8"/>
      <c r="K420" s="9"/>
    </row>
    <row r="421" spans="1:11" x14ac:dyDescent="0.25">
      <c r="A421" t="str">
        <f>"51079029920"</f>
        <v>51079029920</v>
      </c>
      <c r="B421" t="s">
        <v>568</v>
      </c>
      <c r="C421" t="s">
        <v>570</v>
      </c>
      <c r="D421">
        <v>100</v>
      </c>
      <c r="E421" s="10" t="s">
        <v>11</v>
      </c>
      <c r="F421" s="11">
        <v>0.1</v>
      </c>
      <c r="G421">
        <v>100</v>
      </c>
      <c r="I421" s="12"/>
      <c r="J421" s="8"/>
      <c r="K421" s="13"/>
    </row>
    <row r="422" spans="1:11" x14ac:dyDescent="0.25">
      <c r="A422" s="3" t="str">
        <f>"68001023703"</f>
        <v>68001023703</v>
      </c>
      <c r="B422" s="3" t="s">
        <v>568</v>
      </c>
      <c r="C422" s="3" t="s">
        <v>571</v>
      </c>
      <c r="D422" s="3">
        <v>500</v>
      </c>
      <c r="E422" s="4" t="s">
        <v>11</v>
      </c>
      <c r="F422" s="5">
        <v>0.1</v>
      </c>
      <c r="G422" s="3">
        <v>500</v>
      </c>
      <c r="I422" s="7"/>
      <c r="J422" s="8"/>
      <c r="K422" s="9"/>
    </row>
    <row r="423" spans="1:11" x14ac:dyDescent="0.25">
      <c r="A423" t="str">
        <f>"68001023800"</f>
        <v>68001023800</v>
      </c>
      <c r="B423" t="s">
        <v>568</v>
      </c>
      <c r="C423" t="s">
        <v>572</v>
      </c>
      <c r="D423">
        <v>100</v>
      </c>
      <c r="E423" s="10" t="s">
        <v>11</v>
      </c>
      <c r="F423" s="11">
        <v>0.2</v>
      </c>
      <c r="G423">
        <v>100</v>
      </c>
      <c r="I423" s="12"/>
      <c r="J423" s="8"/>
      <c r="K423" s="13"/>
    </row>
    <row r="424" spans="1:11" x14ac:dyDescent="0.25">
      <c r="A424" s="3" t="str">
        <f>"51079030020"</f>
        <v>51079030020</v>
      </c>
      <c r="B424" s="3" t="s">
        <v>568</v>
      </c>
      <c r="C424" s="3" t="s">
        <v>573</v>
      </c>
      <c r="D424" s="3">
        <v>100</v>
      </c>
      <c r="E424" s="4" t="s">
        <v>11</v>
      </c>
      <c r="F424" s="5">
        <v>0.2</v>
      </c>
      <c r="G424" s="3">
        <v>100</v>
      </c>
      <c r="I424" s="7"/>
      <c r="J424" s="8"/>
      <c r="K424" s="9"/>
    </row>
    <row r="425" spans="1:11" x14ac:dyDescent="0.25">
      <c r="A425" t="str">
        <f>"00228212850"</f>
        <v>00228212850</v>
      </c>
      <c r="B425" t="s">
        <v>568</v>
      </c>
      <c r="C425" t="s">
        <v>574</v>
      </c>
      <c r="D425">
        <v>500</v>
      </c>
      <c r="E425" s="10" t="s">
        <v>11</v>
      </c>
      <c r="F425" s="11">
        <v>0.2</v>
      </c>
      <c r="G425">
        <v>500</v>
      </c>
      <c r="I425" s="12"/>
      <c r="J425" s="8"/>
      <c r="K425" s="13"/>
    </row>
    <row r="426" spans="1:11" x14ac:dyDescent="0.25">
      <c r="A426" s="3" t="str">
        <f>"68001023803"</f>
        <v>68001023803</v>
      </c>
      <c r="B426" s="3" t="s">
        <v>568</v>
      </c>
      <c r="C426" s="3" t="s">
        <v>575</v>
      </c>
      <c r="D426" s="3">
        <v>500</v>
      </c>
      <c r="E426" s="4" t="s">
        <v>11</v>
      </c>
      <c r="F426" s="5">
        <v>0.2</v>
      </c>
      <c r="G426" s="3">
        <v>500</v>
      </c>
      <c r="I426" s="7"/>
      <c r="J426" s="8"/>
      <c r="K426" s="9"/>
    </row>
    <row r="427" spans="1:11" x14ac:dyDescent="0.25">
      <c r="A427" t="str">
        <f>"68001023900"</f>
        <v>68001023900</v>
      </c>
      <c r="B427" t="s">
        <v>568</v>
      </c>
      <c r="C427" t="s">
        <v>576</v>
      </c>
      <c r="D427">
        <v>100</v>
      </c>
      <c r="E427" s="10" t="s">
        <v>11</v>
      </c>
      <c r="F427" s="11">
        <v>0.3</v>
      </c>
      <c r="G427">
        <v>100</v>
      </c>
      <c r="I427" s="12"/>
      <c r="J427" s="8"/>
      <c r="K427" s="13"/>
    </row>
    <row r="428" spans="1:11" x14ac:dyDescent="0.25">
      <c r="A428" s="3" t="str">
        <f>"51079055720"</f>
        <v>51079055720</v>
      </c>
      <c r="B428" s="3" t="s">
        <v>577</v>
      </c>
      <c r="C428" s="3" t="s">
        <v>578</v>
      </c>
      <c r="D428" s="3">
        <v>100</v>
      </c>
      <c r="E428" s="4" t="s">
        <v>11</v>
      </c>
      <c r="F428" s="5">
        <v>75</v>
      </c>
      <c r="G428" s="3">
        <v>100</v>
      </c>
      <c r="I428" s="7"/>
      <c r="J428" s="8"/>
      <c r="K428" s="9"/>
    </row>
    <row r="429" spans="1:11" x14ac:dyDescent="0.25">
      <c r="A429" t="str">
        <f>"68084053601"</f>
        <v>68084053601</v>
      </c>
      <c r="B429" t="s">
        <v>577</v>
      </c>
      <c r="C429" t="s">
        <v>579</v>
      </c>
      <c r="D429">
        <v>100</v>
      </c>
      <c r="E429" s="10" t="s">
        <v>11</v>
      </c>
      <c r="F429" s="11">
        <v>75</v>
      </c>
      <c r="G429">
        <v>100</v>
      </c>
      <c r="I429" s="12"/>
      <c r="J429" s="8"/>
      <c r="K429" s="13"/>
    </row>
    <row r="430" spans="1:11" x14ac:dyDescent="0.25">
      <c r="A430" s="3" t="str">
        <f>"55111019690"</f>
        <v>55111019690</v>
      </c>
      <c r="B430" s="3" t="s">
        <v>577</v>
      </c>
      <c r="C430" s="3" t="s">
        <v>580</v>
      </c>
      <c r="D430" s="3">
        <v>90</v>
      </c>
      <c r="E430" s="4" t="s">
        <v>11</v>
      </c>
      <c r="F430" s="5">
        <v>75</v>
      </c>
      <c r="G430" s="3">
        <v>90</v>
      </c>
      <c r="I430" s="7"/>
      <c r="J430" s="8"/>
      <c r="K430" s="9"/>
    </row>
    <row r="431" spans="1:11" x14ac:dyDescent="0.25">
      <c r="A431" t="str">
        <f>"45802043411"</f>
        <v>45802043411</v>
      </c>
      <c r="B431" t="s">
        <v>581</v>
      </c>
      <c r="C431" t="s">
        <v>582</v>
      </c>
      <c r="D431">
        <v>28</v>
      </c>
      <c r="E431" s="10" t="s">
        <v>48</v>
      </c>
      <c r="F431" s="11">
        <v>0.01</v>
      </c>
      <c r="G431">
        <v>30</v>
      </c>
      <c r="I431" s="12"/>
      <c r="J431" s="8"/>
      <c r="K431" s="13"/>
    </row>
    <row r="432" spans="1:11" x14ac:dyDescent="0.25">
      <c r="A432" s="3" t="str">
        <f>"66993089815"</f>
        <v>66993089815</v>
      </c>
      <c r="B432" s="3" t="s">
        <v>583</v>
      </c>
      <c r="C432" s="3" t="s">
        <v>584</v>
      </c>
      <c r="D432" s="3">
        <v>15</v>
      </c>
      <c r="E432" s="4" t="s">
        <v>48</v>
      </c>
      <c r="F432" s="5">
        <v>5.0000000000000001E-4</v>
      </c>
      <c r="G432" s="3">
        <v>15</v>
      </c>
      <c r="I432" s="7"/>
      <c r="J432" s="8"/>
      <c r="K432" s="9"/>
    </row>
    <row r="433" spans="1:11" x14ac:dyDescent="0.25">
      <c r="A433" t="str">
        <f>"51079092220"</f>
        <v>51079092220</v>
      </c>
      <c r="B433" t="s">
        <v>585</v>
      </c>
      <c r="C433" t="s">
        <v>586</v>
      </c>
      <c r="D433">
        <v>100</v>
      </c>
      <c r="E433" s="10" t="s">
        <v>11</v>
      </c>
      <c r="F433" s="11">
        <v>100</v>
      </c>
      <c r="G433">
        <v>100</v>
      </c>
      <c r="I433" s="12"/>
      <c r="J433" s="8"/>
      <c r="K433" s="13"/>
    </row>
    <row r="434" spans="1:11" x14ac:dyDescent="0.25">
      <c r="A434" s="3" t="str">
        <f>"51079092120"</f>
        <v>51079092120</v>
      </c>
      <c r="B434" s="3" t="s">
        <v>585</v>
      </c>
      <c r="C434" s="3" t="s">
        <v>587</v>
      </c>
      <c r="D434" s="3">
        <v>100</v>
      </c>
      <c r="E434" s="4" t="s">
        <v>11</v>
      </c>
      <c r="F434" s="5">
        <v>25</v>
      </c>
      <c r="G434" s="3">
        <v>100</v>
      </c>
      <c r="I434" s="7"/>
      <c r="J434" s="8"/>
      <c r="K434" s="9"/>
    </row>
    <row r="435" spans="1:11" x14ac:dyDescent="0.25">
      <c r="A435" t="str">
        <f>"00054024324"</f>
        <v>00054024324</v>
      </c>
      <c r="B435" t="s">
        <v>588</v>
      </c>
      <c r="C435" t="s">
        <v>589</v>
      </c>
      <c r="D435">
        <v>100</v>
      </c>
      <c r="E435" s="10" t="s">
        <v>11</v>
      </c>
      <c r="F435" s="11">
        <v>15</v>
      </c>
      <c r="G435">
        <v>100</v>
      </c>
      <c r="I435" s="12"/>
      <c r="J435" s="8"/>
      <c r="K435" s="13"/>
    </row>
    <row r="436" spans="1:11" x14ac:dyDescent="0.25">
      <c r="A436" s="3" t="str">
        <f>"00054024424"</f>
        <v>00054024424</v>
      </c>
      <c r="B436" s="3" t="s">
        <v>588</v>
      </c>
      <c r="C436" s="3" t="s">
        <v>590</v>
      </c>
      <c r="D436" s="3">
        <v>100</v>
      </c>
      <c r="E436" s="4" t="s">
        <v>11</v>
      </c>
      <c r="F436" s="5">
        <v>30</v>
      </c>
      <c r="G436" s="3">
        <v>100</v>
      </c>
      <c r="I436" s="7"/>
      <c r="J436" s="8"/>
      <c r="K436" s="9"/>
    </row>
    <row r="437" spans="1:11" x14ac:dyDescent="0.25">
      <c r="A437" t="str">
        <f>"66993016502"</f>
        <v>66993016502</v>
      </c>
      <c r="B437" t="s">
        <v>591</v>
      </c>
      <c r="C437" t="s">
        <v>592</v>
      </c>
      <c r="D437">
        <v>100</v>
      </c>
      <c r="E437" s="10" t="s">
        <v>11</v>
      </c>
      <c r="F437" s="11">
        <v>0.6</v>
      </c>
      <c r="G437">
        <v>100</v>
      </c>
      <c r="I437" s="12"/>
      <c r="J437" s="8"/>
      <c r="K437" s="13"/>
    </row>
    <row r="438" spans="1:11" x14ac:dyDescent="0.25">
      <c r="A438" s="3" t="str">
        <f>"00023921105"</f>
        <v>00023921105</v>
      </c>
      <c r="B438" s="3" t="s">
        <v>593</v>
      </c>
      <c r="C438" s="3" t="s">
        <v>594</v>
      </c>
      <c r="D438" s="3">
        <v>5</v>
      </c>
      <c r="E438" s="4" t="s">
        <v>36</v>
      </c>
      <c r="F438" s="5" t="s">
        <v>595</v>
      </c>
      <c r="G438" s="3">
        <v>5</v>
      </c>
      <c r="I438" s="7"/>
      <c r="J438" s="8"/>
      <c r="K438" s="9"/>
    </row>
    <row r="439" spans="1:11" x14ac:dyDescent="0.25">
      <c r="A439" t="str">
        <f>"00597002402"</f>
        <v>00597002402</v>
      </c>
      <c r="B439" t="s">
        <v>596</v>
      </c>
      <c r="C439" t="s">
        <v>597</v>
      </c>
      <c r="D439">
        <v>4</v>
      </c>
      <c r="E439" s="10" t="s">
        <v>48</v>
      </c>
      <c r="G439">
        <v>4</v>
      </c>
      <c r="I439" s="12"/>
      <c r="J439" s="8"/>
      <c r="K439" s="13"/>
    </row>
    <row r="440" spans="1:11" x14ac:dyDescent="0.25">
      <c r="A440" s="3" t="str">
        <f>"61958110101"</f>
        <v>61958110101</v>
      </c>
      <c r="B440" s="3" t="s">
        <v>598</v>
      </c>
      <c r="C440" s="3" t="s">
        <v>599</v>
      </c>
      <c r="D440" s="3">
        <v>30</v>
      </c>
      <c r="E440" s="4"/>
      <c r="F440" s="5"/>
      <c r="G440" s="3">
        <v>30</v>
      </c>
      <c r="I440" s="7"/>
      <c r="J440" s="8"/>
      <c r="K440" s="9"/>
    </row>
    <row r="441" spans="1:11" x14ac:dyDescent="0.25">
      <c r="A441" t="str">
        <f>"52544004513"</f>
        <v>52544004513</v>
      </c>
      <c r="B441" t="s">
        <v>600</v>
      </c>
      <c r="C441" t="s">
        <v>601</v>
      </c>
      <c r="D441">
        <v>3.5</v>
      </c>
      <c r="E441" s="10" t="s">
        <v>48</v>
      </c>
      <c r="F441" s="11">
        <v>5.0000000000000001E-3</v>
      </c>
      <c r="G441">
        <v>3.5</v>
      </c>
      <c r="I441" s="12"/>
      <c r="J441" s="8"/>
      <c r="K441" s="13"/>
    </row>
    <row r="442" spans="1:11" x14ac:dyDescent="0.25">
      <c r="A442" s="3" t="str">
        <f>"68546031730"</f>
        <v>68546031730</v>
      </c>
      <c r="B442" s="3" t="s">
        <v>602</v>
      </c>
      <c r="C442" s="3" t="s">
        <v>603</v>
      </c>
      <c r="D442" s="3">
        <v>30</v>
      </c>
      <c r="E442" s="4" t="s">
        <v>20</v>
      </c>
      <c r="F442" s="5" t="s">
        <v>604</v>
      </c>
      <c r="G442" s="3">
        <v>1</v>
      </c>
      <c r="I442" s="7"/>
      <c r="J442" s="8"/>
      <c r="K442" s="9"/>
    </row>
    <row r="443" spans="1:11" x14ac:dyDescent="0.25">
      <c r="A443" t="str">
        <f>"68546032512"</f>
        <v>68546032512</v>
      </c>
      <c r="B443" t="s">
        <v>602</v>
      </c>
      <c r="C443" t="s">
        <v>605</v>
      </c>
      <c r="D443">
        <v>12</v>
      </c>
      <c r="E443" s="10" t="s">
        <v>11</v>
      </c>
      <c r="F443" s="11">
        <v>40</v>
      </c>
      <c r="G443">
        <v>1</v>
      </c>
      <c r="I443" s="12"/>
      <c r="J443" s="8"/>
      <c r="K443" s="13"/>
    </row>
    <row r="444" spans="1:11" x14ac:dyDescent="0.25">
      <c r="A444" s="3" t="str">
        <f>"55513080060"</f>
        <v>55513080060</v>
      </c>
      <c r="B444" s="3" t="s">
        <v>606</v>
      </c>
      <c r="C444" s="3" t="s">
        <v>607</v>
      </c>
      <c r="D444" s="3">
        <v>60</v>
      </c>
      <c r="E444" s="4" t="s">
        <v>11</v>
      </c>
      <c r="F444" s="5">
        <v>5</v>
      </c>
      <c r="G444" s="3">
        <v>60</v>
      </c>
      <c r="I444" s="7"/>
      <c r="J444" s="8"/>
      <c r="K444" s="9"/>
    </row>
    <row r="445" spans="1:11" x14ac:dyDescent="0.25">
      <c r="A445" t="str">
        <f>"00009001201"</f>
        <v>00009001201</v>
      </c>
      <c r="B445" t="s">
        <v>608</v>
      </c>
      <c r="C445" t="s">
        <v>609</v>
      </c>
      <c r="D445">
        <v>50</v>
      </c>
      <c r="E445" s="10" t="s">
        <v>11</v>
      </c>
      <c r="F445" s="11">
        <v>5</v>
      </c>
      <c r="G445">
        <v>50</v>
      </c>
      <c r="I445" s="12"/>
      <c r="J445" s="8"/>
      <c r="K445" s="13"/>
    </row>
    <row r="446" spans="1:11" x14ac:dyDescent="0.25">
      <c r="A446" s="3" t="str">
        <f>"10356002300"</f>
        <v>10356002300</v>
      </c>
      <c r="B446" s="3" t="s">
        <v>274</v>
      </c>
      <c r="C446" s="3" t="s">
        <v>610</v>
      </c>
      <c r="D446" s="3">
        <v>100</v>
      </c>
      <c r="E446" s="4"/>
      <c r="F446" s="5"/>
      <c r="G446" s="3">
        <v>100</v>
      </c>
      <c r="I446" s="7"/>
      <c r="J446" s="8"/>
      <c r="K446" s="9"/>
    </row>
    <row r="447" spans="1:11" x14ac:dyDescent="0.25">
      <c r="A447" t="str">
        <f>"35046000751"</f>
        <v>35046000751</v>
      </c>
      <c r="B447" t="s">
        <v>611</v>
      </c>
      <c r="C447" t="s">
        <v>612</v>
      </c>
      <c r="D447">
        <v>60</v>
      </c>
      <c r="G447">
        <v>60</v>
      </c>
      <c r="I447" s="12"/>
      <c r="J447" s="8"/>
      <c r="K447" s="13"/>
    </row>
    <row r="448" spans="1:11" x14ac:dyDescent="0.25">
      <c r="A448" s="3" t="str">
        <f>"00032121201"</f>
        <v>00032121201</v>
      </c>
      <c r="B448" s="3" t="s">
        <v>613</v>
      </c>
      <c r="C448" s="3" t="s">
        <v>614</v>
      </c>
      <c r="D448" s="3">
        <v>100</v>
      </c>
      <c r="E448" s="4"/>
      <c r="F448" s="5"/>
      <c r="G448" s="3">
        <v>100</v>
      </c>
      <c r="I448" s="7"/>
      <c r="J448" s="8"/>
      <c r="K448" s="9"/>
    </row>
    <row r="449" spans="1:11" x14ac:dyDescent="0.25">
      <c r="A449" t="str">
        <f>"00032122401"</f>
        <v>00032122401</v>
      </c>
      <c r="B449" t="s">
        <v>613</v>
      </c>
      <c r="C449" t="s">
        <v>615</v>
      </c>
      <c r="D449">
        <v>100</v>
      </c>
      <c r="G449">
        <v>100</v>
      </c>
      <c r="I449" s="12"/>
      <c r="J449" s="8"/>
      <c r="K449" s="13"/>
    </row>
    <row r="450" spans="1:11" x14ac:dyDescent="0.25">
      <c r="A450" s="3" t="str">
        <f>"00032122407"</f>
        <v>00032122407</v>
      </c>
      <c r="B450" s="3" t="s">
        <v>613</v>
      </c>
      <c r="C450" s="3" t="s">
        <v>616</v>
      </c>
      <c r="D450" s="3">
        <v>250</v>
      </c>
      <c r="E450" s="4"/>
      <c r="F450" s="5"/>
      <c r="G450" s="3">
        <v>250</v>
      </c>
      <c r="I450" s="7"/>
      <c r="J450" s="8"/>
      <c r="K450" s="9"/>
    </row>
    <row r="451" spans="1:11" x14ac:dyDescent="0.25">
      <c r="A451" t="str">
        <f>"00032120601"</f>
        <v>00032120601</v>
      </c>
      <c r="B451" t="s">
        <v>613</v>
      </c>
      <c r="C451" t="s">
        <v>617</v>
      </c>
      <c r="D451">
        <v>100</v>
      </c>
      <c r="G451">
        <v>100</v>
      </c>
      <c r="I451" s="12"/>
      <c r="J451" s="8"/>
      <c r="K451" s="13"/>
    </row>
    <row r="452" spans="1:11" x14ac:dyDescent="0.25">
      <c r="A452" s="3" t="str">
        <f>"00310075290"</f>
        <v>00310075290</v>
      </c>
      <c r="B452" s="3" t="s">
        <v>618</v>
      </c>
      <c r="C452" s="3" t="s">
        <v>620</v>
      </c>
      <c r="D452" s="3">
        <v>90</v>
      </c>
      <c r="E452" s="4" t="s">
        <v>11</v>
      </c>
      <c r="F452" s="5">
        <v>20</v>
      </c>
      <c r="G452" s="3">
        <v>90</v>
      </c>
      <c r="I452" s="7"/>
      <c r="J452" s="8"/>
      <c r="K452" s="9"/>
    </row>
    <row r="453" spans="1:11" x14ac:dyDescent="0.25">
      <c r="A453" t="str">
        <f>"00310075430"</f>
        <v>00310075430</v>
      </c>
      <c r="B453" t="s">
        <v>618</v>
      </c>
      <c r="C453" t="s">
        <v>619</v>
      </c>
      <c r="D453">
        <v>30</v>
      </c>
      <c r="E453" s="10" t="s">
        <v>11</v>
      </c>
      <c r="F453" s="11">
        <v>40</v>
      </c>
      <c r="G453">
        <v>30</v>
      </c>
      <c r="I453" s="12"/>
      <c r="J453" s="8"/>
      <c r="K453" s="13"/>
    </row>
    <row r="454" spans="1:11" x14ac:dyDescent="0.25">
      <c r="A454" s="3" t="str">
        <f>"00172640649"</f>
        <v>00172640649</v>
      </c>
      <c r="B454" s="3" t="s">
        <v>621</v>
      </c>
      <c r="C454" s="3" t="s">
        <v>622</v>
      </c>
      <c r="D454" s="3">
        <v>120</v>
      </c>
      <c r="E454" s="4" t="s">
        <v>11</v>
      </c>
      <c r="F454" s="5">
        <v>20</v>
      </c>
      <c r="G454" s="3">
        <v>2</v>
      </c>
      <c r="I454" s="7"/>
      <c r="J454" s="8"/>
      <c r="K454" s="9"/>
    </row>
    <row r="455" spans="1:11" x14ac:dyDescent="0.25">
      <c r="A455" t="str">
        <f>"67919001101"</f>
        <v>67919001101</v>
      </c>
      <c r="B455" t="s">
        <v>623</v>
      </c>
      <c r="C455" t="s">
        <v>624</v>
      </c>
      <c r="D455">
        <v>10</v>
      </c>
      <c r="E455" s="10" t="s">
        <v>11</v>
      </c>
      <c r="F455" s="11">
        <v>500</v>
      </c>
      <c r="G455">
        <v>1</v>
      </c>
      <c r="I455" s="12"/>
      <c r="J455" s="8"/>
      <c r="K455" s="13"/>
    </row>
    <row r="456" spans="1:11" x14ac:dyDescent="0.25">
      <c r="A456" s="3" t="str">
        <f>"00517003125"</f>
        <v>00517003125</v>
      </c>
      <c r="B456" s="3" t="s">
        <v>625</v>
      </c>
      <c r="C456" s="3" t="s">
        <v>626</v>
      </c>
      <c r="D456" s="3">
        <v>25</v>
      </c>
      <c r="E456" s="4" t="s">
        <v>240</v>
      </c>
      <c r="F456" s="5">
        <v>1000</v>
      </c>
      <c r="G456" s="3">
        <v>1</v>
      </c>
      <c r="I456" s="7"/>
      <c r="J456" s="8"/>
      <c r="K456" s="9"/>
    </row>
    <row r="457" spans="1:11" x14ac:dyDescent="0.25">
      <c r="A457" t="str">
        <f>"00591565801"</f>
        <v>00591565801</v>
      </c>
      <c r="B457" t="s">
        <v>627</v>
      </c>
      <c r="C457" t="s">
        <v>628</v>
      </c>
      <c r="D457">
        <v>100</v>
      </c>
      <c r="E457" s="10" t="s">
        <v>11</v>
      </c>
      <c r="F457" s="11">
        <v>10</v>
      </c>
      <c r="G457">
        <v>100</v>
      </c>
      <c r="I457" s="12"/>
      <c r="J457" s="8"/>
      <c r="K457" s="13"/>
    </row>
    <row r="458" spans="1:11" x14ac:dyDescent="0.25">
      <c r="A458" s="3" t="str">
        <f>"51079064420"</f>
        <v>51079064420</v>
      </c>
      <c r="B458" s="3" t="s">
        <v>627</v>
      </c>
      <c r="C458" s="3" t="s">
        <v>629</v>
      </c>
      <c r="D458" s="3">
        <v>100</v>
      </c>
      <c r="E458" s="4" t="s">
        <v>11</v>
      </c>
      <c r="F458" s="5">
        <v>10</v>
      </c>
      <c r="G458" s="3">
        <v>100</v>
      </c>
      <c r="I458" s="7"/>
      <c r="J458" s="8"/>
      <c r="K458" s="9"/>
    </row>
    <row r="459" spans="1:11" x14ac:dyDescent="0.25">
      <c r="A459" t="str">
        <f>"00591565805"</f>
        <v>00591565805</v>
      </c>
      <c r="B459" t="s">
        <v>627</v>
      </c>
      <c r="C459" t="s">
        <v>630</v>
      </c>
      <c r="D459">
        <v>500</v>
      </c>
      <c r="E459" s="10" t="s">
        <v>11</v>
      </c>
      <c r="F459" s="11">
        <v>10</v>
      </c>
      <c r="G459">
        <v>500</v>
      </c>
      <c r="I459" s="12"/>
      <c r="J459" s="8"/>
      <c r="K459" s="13"/>
    </row>
    <row r="460" spans="1:11" x14ac:dyDescent="0.25">
      <c r="A460" s="3" t="str">
        <f>"24208073506"</f>
        <v>24208073506</v>
      </c>
      <c r="B460" s="3" t="s">
        <v>631</v>
      </c>
      <c r="C460" s="3" t="s">
        <v>632</v>
      </c>
      <c r="D460" s="3">
        <v>15</v>
      </c>
      <c r="E460" s="4" t="s">
        <v>36</v>
      </c>
      <c r="F460" s="5">
        <v>0.01</v>
      </c>
      <c r="G460" s="3">
        <v>15</v>
      </c>
      <c r="I460" s="7"/>
      <c r="J460" s="8"/>
      <c r="K460" s="9"/>
    </row>
    <row r="461" spans="1:11" x14ac:dyDescent="0.25">
      <c r="A461" t="str">
        <f>"17478009615"</f>
        <v>17478009615</v>
      </c>
      <c r="B461" t="s">
        <v>631</v>
      </c>
      <c r="C461" t="s">
        <v>633</v>
      </c>
      <c r="D461">
        <v>15</v>
      </c>
      <c r="E461" s="10" t="s">
        <v>36</v>
      </c>
      <c r="F461" s="11">
        <v>5.0000000000000001E-3</v>
      </c>
      <c r="G461">
        <v>15</v>
      </c>
      <c r="I461" s="12"/>
      <c r="J461" s="8"/>
      <c r="K461" s="13"/>
    </row>
    <row r="462" spans="1:11" x14ac:dyDescent="0.25">
      <c r="A462" s="3" t="str">
        <f>"00591222315"</f>
        <v>00591222315</v>
      </c>
      <c r="B462" s="3" t="s">
        <v>634</v>
      </c>
      <c r="C462" s="3" t="s">
        <v>635</v>
      </c>
      <c r="D462" s="3">
        <v>30</v>
      </c>
      <c r="E462" s="4" t="s">
        <v>11</v>
      </c>
      <c r="F462" s="5">
        <v>100</v>
      </c>
      <c r="G462" s="3">
        <v>30</v>
      </c>
      <c r="I462" s="7"/>
      <c r="J462" s="8"/>
      <c r="K462" s="9"/>
    </row>
    <row r="463" spans="1:11" x14ac:dyDescent="0.25">
      <c r="A463" t="str">
        <f>"00185093330"</f>
        <v>00185093330</v>
      </c>
      <c r="B463" t="s">
        <v>634</v>
      </c>
      <c r="C463" t="s">
        <v>635</v>
      </c>
      <c r="D463">
        <v>30</v>
      </c>
      <c r="E463" s="10" t="s">
        <v>11</v>
      </c>
      <c r="F463" s="11">
        <v>100</v>
      </c>
      <c r="G463">
        <v>30</v>
      </c>
      <c r="I463" s="12"/>
      <c r="J463" s="8"/>
      <c r="K463" s="13"/>
    </row>
    <row r="464" spans="1:11" x14ac:dyDescent="0.25">
      <c r="A464" s="3" t="str">
        <f>"00185093230"</f>
        <v>00185093230</v>
      </c>
      <c r="B464" s="3" t="s">
        <v>634</v>
      </c>
      <c r="C464" s="3" t="s">
        <v>636</v>
      </c>
      <c r="D464" s="3">
        <v>30</v>
      </c>
      <c r="E464" s="4" t="s">
        <v>11</v>
      </c>
      <c r="F464" s="5">
        <v>25</v>
      </c>
      <c r="G464" s="3">
        <v>30</v>
      </c>
      <c r="I464" s="7"/>
      <c r="J464" s="8"/>
      <c r="K464" s="9"/>
    </row>
    <row r="465" spans="1:11" x14ac:dyDescent="0.25">
      <c r="A465" t="str">
        <f>"00436094616"</f>
        <v>00436094616</v>
      </c>
      <c r="B465" t="s">
        <v>637</v>
      </c>
      <c r="C465" t="s">
        <v>638</v>
      </c>
      <c r="D465">
        <v>16</v>
      </c>
      <c r="E465" s="10" t="s">
        <v>43</v>
      </c>
      <c r="F465" s="11">
        <v>5.0000000000000001E-3</v>
      </c>
      <c r="G465">
        <v>473</v>
      </c>
      <c r="I465" s="12"/>
      <c r="J465" s="8"/>
      <c r="K465" s="13"/>
    </row>
    <row r="466" spans="1:11" x14ac:dyDescent="0.25">
      <c r="A466" s="3" t="str">
        <f>"49938010130"</f>
        <v>49938010130</v>
      </c>
      <c r="B466" s="3" t="s">
        <v>639</v>
      </c>
      <c r="C466" s="3" t="s">
        <v>640</v>
      </c>
      <c r="D466" s="3">
        <v>30</v>
      </c>
      <c r="E466" s="4" t="s">
        <v>641</v>
      </c>
      <c r="F466" s="5">
        <v>100</v>
      </c>
      <c r="G466" s="3">
        <v>30</v>
      </c>
      <c r="I466" s="7"/>
      <c r="J466" s="8"/>
      <c r="K466" s="9"/>
    </row>
    <row r="467" spans="1:11" x14ac:dyDescent="0.25">
      <c r="A467" t="str">
        <f>"00703012501"</f>
        <v>00703012501</v>
      </c>
      <c r="B467" t="s">
        <v>623</v>
      </c>
      <c r="C467" t="s">
        <v>642</v>
      </c>
      <c r="D467">
        <v>0</v>
      </c>
      <c r="E467" s="10" t="s">
        <v>643</v>
      </c>
      <c r="F467" s="11">
        <v>500</v>
      </c>
      <c r="G467">
        <v>1</v>
      </c>
      <c r="I467" s="12"/>
      <c r="J467" s="8"/>
      <c r="K467" s="13"/>
    </row>
    <row r="468" spans="1:11" x14ac:dyDescent="0.25">
      <c r="A468" s="3" t="str">
        <f>"00904386575"</f>
        <v>00904386575</v>
      </c>
      <c r="B468" s="3" t="s">
        <v>644</v>
      </c>
      <c r="C468" s="3" t="s">
        <v>645</v>
      </c>
      <c r="D468" s="3">
        <v>44</v>
      </c>
      <c r="E468" s="4" t="s">
        <v>36</v>
      </c>
      <c r="F468" s="5"/>
      <c r="G468" s="3">
        <v>44</v>
      </c>
      <c r="I468" s="7"/>
      <c r="J468" s="8"/>
      <c r="K468" s="9"/>
    </row>
    <row r="469" spans="1:11" x14ac:dyDescent="0.25">
      <c r="A469" t="str">
        <f>"00430075327"</f>
        <v>00430075327</v>
      </c>
      <c r="B469" t="s">
        <v>423</v>
      </c>
      <c r="C469" t="s">
        <v>646</v>
      </c>
      <c r="D469">
        <v>180</v>
      </c>
      <c r="E469" s="10" t="s">
        <v>11</v>
      </c>
      <c r="F469" s="11">
        <v>400</v>
      </c>
      <c r="G469">
        <v>180</v>
      </c>
      <c r="I469" s="12"/>
      <c r="J469" s="8"/>
      <c r="K469" s="13"/>
    </row>
    <row r="470" spans="1:11" x14ac:dyDescent="0.25">
      <c r="A470" s="3" t="str">
        <f>"00023585318"</f>
        <v>00023585318</v>
      </c>
      <c r="B470" s="3" t="s">
        <v>423</v>
      </c>
      <c r="C470" s="3" t="s">
        <v>647</v>
      </c>
      <c r="D470" s="3">
        <v>180</v>
      </c>
      <c r="E470" s="4" t="s">
        <v>648</v>
      </c>
      <c r="F470" s="5">
        <v>400</v>
      </c>
      <c r="G470" s="3">
        <v>180</v>
      </c>
      <c r="I470" s="7"/>
      <c r="J470" s="8"/>
      <c r="K470" s="9"/>
    </row>
    <row r="471" spans="1:11" x14ac:dyDescent="0.25">
      <c r="A471" t="str">
        <f>"00009307303"</f>
        <v>00009307303</v>
      </c>
      <c r="B471" t="s">
        <v>649</v>
      </c>
      <c r="C471" t="s">
        <v>650</v>
      </c>
      <c r="D471">
        <v>25</v>
      </c>
      <c r="E471" s="10" t="s">
        <v>20</v>
      </c>
      <c r="F471" s="11">
        <v>40</v>
      </c>
      <c r="G471">
        <v>1</v>
      </c>
      <c r="I471" s="12"/>
      <c r="J471" s="8"/>
      <c r="K471" s="13"/>
    </row>
    <row r="472" spans="1:11" x14ac:dyDescent="0.25">
      <c r="A472" s="3" t="str">
        <f>"00009347501"</f>
        <v>00009347501</v>
      </c>
      <c r="B472" s="3" t="s">
        <v>649</v>
      </c>
      <c r="C472" s="3" t="s">
        <v>651</v>
      </c>
      <c r="D472" s="3">
        <v>1</v>
      </c>
      <c r="E472" s="4" t="s">
        <v>20</v>
      </c>
      <c r="F472" s="5">
        <v>80</v>
      </c>
      <c r="G472" s="3">
        <v>1</v>
      </c>
      <c r="I472" s="7"/>
      <c r="J472" s="8"/>
      <c r="K472" s="9"/>
    </row>
    <row r="473" spans="1:11" x14ac:dyDescent="0.25">
      <c r="A473" t="str">
        <f>"00009062601"</f>
        <v>00009062601</v>
      </c>
      <c r="B473" t="s">
        <v>652</v>
      </c>
      <c r="C473" t="s">
        <v>653</v>
      </c>
      <c r="D473">
        <v>2.5</v>
      </c>
      <c r="E473" s="10" t="s">
        <v>11</v>
      </c>
      <c r="F473" s="11">
        <v>400</v>
      </c>
      <c r="G473">
        <v>2.5</v>
      </c>
      <c r="I473" s="12"/>
      <c r="J473" s="8"/>
      <c r="K473" s="13"/>
    </row>
    <row r="474" spans="1:11" x14ac:dyDescent="0.25">
      <c r="A474" s="3" t="str">
        <f>"00009041701"</f>
        <v>00009041701</v>
      </c>
      <c r="B474" s="3" t="s">
        <v>654</v>
      </c>
      <c r="C474" s="3" t="s">
        <v>655</v>
      </c>
      <c r="D474" s="3">
        <v>1</v>
      </c>
      <c r="E474" s="4" t="s">
        <v>11</v>
      </c>
      <c r="F474" s="5">
        <v>200</v>
      </c>
      <c r="G474" s="3">
        <v>1</v>
      </c>
      <c r="I474" s="7"/>
      <c r="J474" s="8"/>
      <c r="K474" s="9"/>
    </row>
    <row r="475" spans="1:11" x14ac:dyDescent="0.25">
      <c r="A475" t="str">
        <f>"61958200201"</f>
        <v>61958200201</v>
      </c>
      <c r="B475" t="s">
        <v>656</v>
      </c>
      <c r="C475" t="s">
        <v>657</v>
      </c>
      <c r="D475">
        <v>30</v>
      </c>
      <c r="E475" s="10" t="s">
        <v>11</v>
      </c>
      <c r="F475" s="11" t="s">
        <v>658</v>
      </c>
      <c r="G475">
        <v>30</v>
      </c>
      <c r="I475" s="12"/>
      <c r="J475" s="8"/>
      <c r="K475" s="13"/>
    </row>
    <row r="476" spans="1:11" x14ac:dyDescent="0.25">
      <c r="A476" s="3" t="str">
        <f>"45963034202"</f>
        <v>45963034202</v>
      </c>
      <c r="B476" s="3" t="s">
        <v>659</v>
      </c>
      <c r="C476" s="3" t="s">
        <v>660</v>
      </c>
      <c r="D476" s="3">
        <v>100</v>
      </c>
      <c r="E476" s="4" t="s">
        <v>11</v>
      </c>
      <c r="F476" s="5">
        <v>25</v>
      </c>
      <c r="G476" s="3">
        <v>100</v>
      </c>
      <c r="I476" s="7"/>
      <c r="J476" s="8"/>
      <c r="K476" s="9"/>
    </row>
    <row r="477" spans="1:11" x14ac:dyDescent="0.25">
      <c r="A477" t="str">
        <f>"00781197201"</f>
        <v>00781197201</v>
      </c>
      <c r="B477" t="s">
        <v>659</v>
      </c>
      <c r="C477" t="s">
        <v>660</v>
      </c>
      <c r="D477">
        <v>100</v>
      </c>
      <c r="E477" s="10" t="s">
        <v>11</v>
      </c>
      <c r="F477" s="11">
        <v>25</v>
      </c>
      <c r="G477">
        <v>100</v>
      </c>
      <c r="I477" s="12"/>
      <c r="J477" s="8"/>
      <c r="K477" s="13"/>
    </row>
    <row r="478" spans="1:11" x14ac:dyDescent="0.25">
      <c r="A478" s="3" t="str">
        <f>"00781197401"</f>
        <v>00781197401</v>
      </c>
      <c r="B478" s="3" t="s">
        <v>659</v>
      </c>
      <c r="C478" s="3" t="s">
        <v>661</v>
      </c>
      <c r="D478" s="3">
        <v>100</v>
      </c>
      <c r="E478" s="4" t="s">
        <v>11</v>
      </c>
      <c r="F478" s="5">
        <v>75</v>
      </c>
      <c r="G478" s="3">
        <v>100</v>
      </c>
      <c r="I478" s="7"/>
      <c r="J478" s="8"/>
      <c r="K478" s="9"/>
    </row>
    <row r="479" spans="1:11" x14ac:dyDescent="0.25">
      <c r="A479" t="str">
        <f>"00093731601"</f>
        <v>00093731601</v>
      </c>
      <c r="B479" t="s">
        <v>662</v>
      </c>
      <c r="C479" t="s">
        <v>663</v>
      </c>
      <c r="D479">
        <v>100</v>
      </c>
      <c r="E479" s="10" t="s">
        <v>11</v>
      </c>
      <c r="F479" s="11">
        <v>0.1</v>
      </c>
      <c r="G479">
        <v>100</v>
      </c>
      <c r="I479" s="12"/>
      <c r="J479" s="8"/>
      <c r="K479" s="13"/>
    </row>
    <row r="480" spans="1:11" x14ac:dyDescent="0.25">
      <c r="A480" s="3" t="str">
        <f>"00093731701"</f>
        <v>00093731701</v>
      </c>
      <c r="B480" s="3" t="s">
        <v>662</v>
      </c>
      <c r="C480" s="3" t="s">
        <v>664</v>
      </c>
      <c r="D480" s="3">
        <v>100</v>
      </c>
      <c r="E480" s="4" t="s">
        <v>11</v>
      </c>
      <c r="F480" s="5">
        <v>0.2</v>
      </c>
      <c r="G480" s="3">
        <v>100</v>
      </c>
      <c r="I480" s="7"/>
      <c r="J480" s="8"/>
      <c r="K480" s="9"/>
    </row>
    <row r="481" spans="1:11" x14ac:dyDescent="0.25">
      <c r="A481" t="str">
        <f>"68001023400"</f>
        <v>68001023400</v>
      </c>
      <c r="B481" t="s">
        <v>662</v>
      </c>
      <c r="C481" t="s">
        <v>664</v>
      </c>
      <c r="D481">
        <v>100</v>
      </c>
      <c r="E481" s="10" t="s">
        <v>11</v>
      </c>
      <c r="F481" s="11">
        <v>0.2</v>
      </c>
      <c r="G481">
        <v>100</v>
      </c>
      <c r="I481" s="12"/>
      <c r="J481" s="8"/>
      <c r="K481" s="13"/>
    </row>
    <row r="482" spans="1:11" x14ac:dyDescent="0.25">
      <c r="A482" s="3" t="str">
        <f>"00115164601"</f>
        <v>00115164601</v>
      </c>
      <c r="B482" s="3" t="s">
        <v>662</v>
      </c>
      <c r="C482" s="3" t="s">
        <v>665</v>
      </c>
      <c r="D482" s="3">
        <v>100</v>
      </c>
      <c r="E482" s="4" t="s">
        <v>11</v>
      </c>
      <c r="F482" s="5">
        <v>0.1</v>
      </c>
      <c r="G482" s="3">
        <v>100</v>
      </c>
      <c r="I482" s="7"/>
      <c r="J482" s="8"/>
      <c r="K482" s="9"/>
    </row>
    <row r="483" spans="1:11" x14ac:dyDescent="0.25">
      <c r="A483" t="str">
        <f>"24208072002"</f>
        <v>24208072002</v>
      </c>
      <c r="B483" t="s">
        <v>666</v>
      </c>
      <c r="C483" t="s">
        <v>667</v>
      </c>
      <c r="D483">
        <v>5</v>
      </c>
      <c r="E483" s="10" t="s">
        <v>668</v>
      </c>
      <c r="F483" s="11">
        <v>0.1</v>
      </c>
      <c r="G483">
        <v>5</v>
      </c>
      <c r="I483" s="12"/>
      <c r="J483" s="8"/>
      <c r="K483" s="13"/>
    </row>
    <row r="484" spans="1:11" x14ac:dyDescent="0.25">
      <c r="A484" s="3" t="str">
        <f>"00054317763"</f>
        <v>00054317763</v>
      </c>
      <c r="B484" s="3" t="s">
        <v>669</v>
      </c>
      <c r="C484" s="3" t="s">
        <v>670</v>
      </c>
      <c r="D484" s="3">
        <v>500</v>
      </c>
      <c r="E484" s="4" t="s">
        <v>438</v>
      </c>
      <c r="F484" s="5">
        <v>0.5</v>
      </c>
      <c r="G484" s="3">
        <v>500</v>
      </c>
      <c r="I484" s="7"/>
      <c r="J484" s="8"/>
      <c r="K484" s="9"/>
    </row>
    <row r="485" spans="1:11" x14ac:dyDescent="0.25">
      <c r="A485" t="str">
        <f>"00054418325"</f>
        <v>00054418325</v>
      </c>
      <c r="B485" t="s">
        <v>669</v>
      </c>
      <c r="C485" t="s">
        <v>671</v>
      </c>
      <c r="D485">
        <v>100</v>
      </c>
      <c r="E485" s="10" t="s">
        <v>11</v>
      </c>
      <c r="F485" s="11">
        <v>2</v>
      </c>
      <c r="G485">
        <v>100</v>
      </c>
      <c r="I485" s="12"/>
      <c r="J485" s="8"/>
      <c r="K485" s="13"/>
    </row>
    <row r="486" spans="1:11" x14ac:dyDescent="0.25">
      <c r="A486" s="3" t="str">
        <f>"00054817625"</f>
        <v>00054817625</v>
      </c>
      <c r="B486" s="3" t="s">
        <v>669</v>
      </c>
      <c r="C486" s="3" t="s">
        <v>672</v>
      </c>
      <c r="D486" s="3">
        <v>100</v>
      </c>
      <c r="E486" s="4" t="s">
        <v>11</v>
      </c>
      <c r="F486" s="5">
        <v>2</v>
      </c>
      <c r="G486" s="3">
        <v>100</v>
      </c>
      <c r="I486" s="7"/>
      <c r="J486" s="8"/>
      <c r="K486" s="9"/>
    </row>
    <row r="487" spans="1:11" x14ac:dyDescent="0.25">
      <c r="A487" t="str">
        <f>"00054418425"</f>
        <v>00054418425</v>
      </c>
      <c r="B487" t="s">
        <v>669</v>
      </c>
      <c r="C487" t="s">
        <v>673</v>
      </c>
      <c r="D487">
        <v>100</v>
      </c>
      <c r="E487" s="10" t="s">
        <v>11</v>
      </c>
      <c r="F487" s="11">
        <v>4</v>
      </c>
      <c r="G487">
        <v>100</v>
      </c>
      <c r="I487" s="12"/>
      <c r="J487" s="8"/>
      <c r="K487" s="13"/>
    </row>
    <row r="488" spans="1:11" x14ac:dyDescent="0.25">
      <c r="A488" s="3" t="str">
        <f>"00054817525"</f>
        <v>00054817525</v>
      </c>
      <c r="B488" s="3" t="s">
        <v>669</v>
      </c>
      <c r="C488" s="3" t="s">
        <v>674</v>
      </c>
      <c r="D488" s="3">
        <v>100</v>
      </c>
      <c r="E488" s="4" t="s">
        <v>11</v>
      </c>
      <c r="F488" s="5">
        <v>4</v>
      </c>
      <c r="G488" s="3">
        <v>100</v>
      </c>
      <c r="I488" s="7"/>
      <c r="J488" s="8"/>
      <c r="K488" s="9"/>
    </row>
    <row r="489" spans="1:11" x14ac:dyDescent="0.25">
      <c r="A489" t="str">
        <f>"00338001703"</f>
        <v>00338001703</v>
      </c>
      <c r="B489" t="s">
        <v>675</v>
      </c>
      <c r="C489" t="s">
        <v>676</v>
      </c>
      <c r="D489">
        <v>12000</v>
      </c>
      <c r="E489" s="10" t="s">
        <v>43</v>
      </c>
      <c r="F489" s="11">
        <v>5</v>
      </c>
      <c r="G489">
        <v>500</v>
      </c>
      <c r="I489" s="12"/>
      <c r="J489" s="8"/>
      <c r="K489" s="13"/>
    </row>
    <row r="490" spans="1:11" x14ac:dyDescent="0.25">
      <c r="A490" s="3" t="str">
        <f>"00409751716"</f>
        <v>00409751716</v>
      </c>
      <c r="B490" s="3" t="s">
        <v>677</v>
      </c>
      <c r="C490" s="3" t="s">
        <v>678</v>
      </c>
      <c r="D490" s="3">
        <v>500</v>
      </c>
      <c r="E490" s="4" t="s">
        <v>679</v>
      </c>
      <c r="F490" s="5">
        <v>0.5</v>
      </c>
      <c r="G490" s="3">
        <v>50</v>
      </c>
      <c r="I490" s="7"/>
      <c r="J490" s="8"/>
      <c r="K490" s="9"/>
    </row>
    <row r="491" spans="1:11" x14ac:dyDescent="0.25">
      <c r="A491" t="str">
        <f>"00904588061"</f>
        <v>00904588061</v>
      </c>
      <c r="B491" t="s">
        <v>680</v>
      </c>
      <c r="C491" t="s">
        <v>681</v>
      </c>
      <c r="D491">
        <v>100</v>
      </c>
      <c r="E491" s="10" t="s">
        <v>11</v>
      </c>
      <c r="F491" s="11">
        <v>5</v>
      </c>
      <c r="G491">
        <v>100</v>
      </c>
      <c r="I491" s="12"/>
      <c r="J491" s="8"/>
      <c r="K491" s="13"/>
    </row>
    <row r="492" spans="1:11" x14ac:dyDescent="0.25">
      <c r="A492" s="3" t="str">
        <f>"51079028520"</f>
        <v>51079028520</v>
      </c>
      <c r="B492" s="3" t="s">
        <v>680</v>
      </c>
      <c r="C492" s="3" t="s">
        <v>681</v>
      </c>
      <c r="D492" s="3">
        <v>100</v>
      </c>
      <c r="E492" s="4" t="s">
        <v>11</v>
      </c>
      <c r="F492" s="5">
        <v>5</v>
      </c>
      <c r="G492" s="3">
        <v>100</v>
      </c>
      <c r="I492" s="7"/>
      <c r="J492" s="8"/>
      <c r="K492" s="9"/>
    </row>
    <row r="493" spans="1:11" x14ac:dyDescent="0.25">
      <c r="A493" t="str">
        <f>"49884093547"</f>
        <v>49884093547</v>
      </c>
      <c r="B493" t="s">
        <v>682</v>
      </c>
      <c r="C493" t="s">
        <v>683</v>
      </c>
      <c r="D493">
        <v>100</v>
      </c>
      <c r="E493" s="10" t="s">
        <v>43</v>
      </c>
      <c r="F493" s="11">
        <v>1</v>
      </c>
      <c r="G493">
        <v>100</v>
      </c>
      <c r="I493" s="12"/>
      <c r="J493" s="8"/>
      <c r="K493" s="13"/>
    </row>
    <row r="494" spans="1:11" x14ac:dyDescent="0.25">
      <c r="A494" s="3" t="str">
        <f>"68001028000"</f>
        <v>68001028000</v>
      </c>
      <c r="B494" s="3" t="s">
        <v>682</v>
      </c>
      <c r="C494" s="3" t="s">
        <v>684</v>
      </c>
      <c r="D494" s="3">
        <v>100</v>
      </c>
      <c r="E494" s="4" t="s">
        <v>648</v>
      </c>
      <c r="F494" s="5">
        <v>50</v>
      </c>
      <c r="G494" s="3">
        <v>100</v>
      </c>
      <c r="I494" s="7"/>
      <c r="J494" s="8"/>
      <c r="K494" s="9"/>
    </row>
    <row r="495" spans="1:11" x14ac:dyDescent="0.25">
      <c r="A495" t="str">
        <f>"24208045705"</f>
        <v>24208045705</v>
      </c>
      <c r="B495" t="s">
        <v>682</v>
      </c>
      <c r="C495" t="s">
        <v>685</v>
      </c>
      <c r="D495">
        <v>5</v>
      </c>
      <c r="E495" s="10" t="s">
        <v>43</v>
      </c>
      <c r="F495" s="11">
        <v>0.1</v>
      </c>
      <c r="G495">
        <v>5</v>
      </c>
      <c r="I495" s="12"/>
      <c r="J495" s="8"/>
      <c r="K495" s="13"/>
    </row>
    <row r="496" spans="1:11" x14ac:dyDescent="0.25">
      <c r="A496" s="3" t="str">
        <f>"65162083366"</f>
        <v>65162083366</v>
      </c>
      <c r="B496" s="3" t="s">
        <v>682</v>
      </c>
      <c r="C496" s="3" t="s">
        <v>686</v>
      </c>
      <c r="D496" s="3">
        <v>100</v>
      </c>
      <c r="E496" s="4" t="s">
        <v>43</v>
      </c>
      <c r="F496" s="5">
        <v>1</v>
      </c>
      <c r="G496" s="3">
        <v>100</v>
      </c>
      <c r="I496" s="7"/>
      <c r="J496" s="8"/>
      <c r="K496" s="9"/>
    </row>
    <row r="497" spans="1:11" x14ac:dyDescent="0.25">
      <c r="A497" t="str">
        <f>"61442010301"</f>
        <v>61442010301</v>
      </c>
      <c r="B497" t="s">
        <v>682</v>
      </c>
      <c r="C497" t="s">
        <v>687</v>
      </c>
      <c r="D497">
        <v>100</v>
      </c>
      <c r="E497" s="10" t="s">
        <v>648</v>
      </c>
      <c r="F497" s="11">
        <v>75</v>
      </c>
      <c r="G497">
        <v>100</v>
      </c>
      <c r="I497" s="12"/>
      <c r="J497" s="8"/>
      <c r="K497" s="13"/>
    </row>
    <row r="498" spans="1:11" x14ac:dyDescent="0.25">
      <c r="A498" s="3" t="str">
        <f>"00093312301"</f>
        <v>00093312301</v>
      </c>
      <c r="B498" s="3" t="s">
        <v>688</v>
      </c>
      <c r="C498" s="3" t="s">
        <v>689</v>
      </c>
      <c r="D498" s="3">
        <v>100</v>
      </c>
      <c r="E498" s="4" t="s">
        <v>11</v>
      </c>
      <c r="F498" s="5">
        <v>250</v>
      </c>
      <c r="G498" s="3">
        <v>100</v>
      </c>
      <c r="I498" s="7"/>
      <c r="J498" s="8"/>
      <c r="K498" s="9"/>
    </row>
    <row r="499" spans="1:11" x14ac:dyDescent="0.25">
      <c r="A499" t="str">
        <f>"00093312501"</f>
        <v>00093312501</v>
      </c>
      <c r="B499" t="s">
        <v>688</v>
      </c>
      <c r="C499" t="s">
        <v>690</v>
      </c>
      <c r="D499">
        <v>100</v>
      </c>
      <c r="E499" s="10" t="s">
        <v>11</v>
      </c>
      <c r="F499" s="11">
        <v>500</v>
      </c>
      <c r="G499">
        <v>100</v>
      </c>
      <c r="I499" s="12"/>
      <c r="J499" s="8"/>
      <c r="K499" s="13"/>
    </row>
    <row r="500" spans="1:11" x14ac:dyDescent="0.25">
      <c r="A500" s="3" t="str">
        <f>"00591079401"</f>
        <v>00591079401</v>
      </c>
      <c r="B500" s="3" t="s">
        <v>691</v>
      </c>
      <c r="C500" s="3" t="s">
        <v>692</v>
      </c>
      <c r="D500" s="3">
        <v>100</v>
      </c>
      <c r="E500" s="4" t="s">
        <v>11</v>
      </c>
      <c r="F500" s="5">
        <v>10</v>
      </c>
      <c r="G500" s="3">
        <v>100</v>
      </c>
      <c r="I500" s="7"/>
      <c r="J500" s="8"/>
      <c r="K500" s="9"/>
    </row>
    <row r="501" spans="1:11" x14ac:dyDescent="0.25">
      <c r="A501" t="str">
        <f>"51079011820"</f>
        <v>51079011820</v>
      </c>
      <c r="B501" t="s">
        <v>691</v>
      </c>
      <c r="C501" t="s">
        <v>693</v>
      </c>
      <c r="D501">
        <v>100</v>
      </c>
      <c r="E501" s="10" t="s">
        <v>11</v>
      </c>
      <c r="F501" s="11">
        <v>10</v>
      </c>
      <c r="G501">
        <v>100</v>
      </c>
      <c r="I501" s="12"/>
      <c r="J501" s="8"/>
      <c r="K501" s="13"/>
    </row>
    <row r="502" spans="1:11" x14ac:dyDescent="0.25">
      <c r="A502" s="3" t="str">
        <f>"00591079501"</f>
        <v>00591079501</v>
      </c>
      <c r="B502" s="3" t="s">
        <v>691</v>
      </c>
      <c r="C502" s="3" t="s">
        <v>694</v>
      </c>
      <c r="D502" s="3">
        <v>100</v>
      </c>
      <c r="E502" s="4" t="s">
        <v>11</v>
      </c>
      <c r="F502" s="5">
        <v>20</v>
      </c>
      <c r="G502" s="3">
        <v>100</v>
      </c>
      <c r="I502" s="7"/>
      <c r="J502" s="8"/>
      <c r="K502" s="9"/>
    </row>
    <row r="503" spans="1:11" x14ac:dyDescent="0.25">
      <c r="A503" t="str">
        <f>"51079011920"</f>
        <v>51079011920</v>
      </c>
      <c r="B503" t="s">
        <v>691</v>
      </c>
      <c r="C503" t="s">
        <v>695</v>
      </c>
      <c r="D503">
        <v>100</v>
      </c>
      <c r="E503" s="10" t="s">
        <v>11</v>
      </c>
      <c r="F503" s="11">
        <v>20</v>
      </c>
      <c r="G503">
        <v>100</v>
      </c>
      <c r="I503" s="12"/>
      <c r="J503" s="8"/>
      <c r="K503" s="13"/>
    </row>
    <row r="504" spans="1:11" x14ac:dyDescent="0.25">
      <c r="A504" s="3" t="str">
        <f>"00591079510"</f>
        <v>00591079510</v>
      </c>
      <c r="B504" s="3" t="s">
        <v>691</v>
      </c>
      <c r="C504" s="3" t="s">
        <v>696</v>
      </c>
      <c r="D504" s="3">
        <v>1000</v>
      </c>
      <c r="E504" s="4" t="s">
        <v>11</v>
      </c>
      <c r="F504" s="5">
        <v>20</v>
      </c>
      <c r="G504" s="3">
        <v>1000</v>
      </c>
      <c r="I504" s="7"/>
      <c r="J504" s="8"/>
      <c r="K504" s="9"/>
    </row>
    <row r="505" spans="1:11" x14ac:dyDescent="0.25">
      <c r="A505" t="str">
        <f>"64980018101"</f>
        <v>64980018101</v>
      </c>
      <c r="B505" t="s">
        <v>697</v>
      </c>
      <c r="C505" t="s">
        <v>698</v>
      </c>
      <c r="D505">
        <v>100</v>
      </c>
      <c r="E505" s="10" t="s">
        <v>11</v>
      </c>
      <c r="F505" s="11">
        <v>500</v>
      </c>
      <c r="G505">
        <v>100</v>
      </c>
      <c r="I505" s="12"/>
      <c r="J505" s="8"/>
      <c r="K505" s="13"/>
    </row>
    <row r="506" spans="1:11" x14ac:dyDescent="0.25">
      <c r="A506" s="3" t="str">
        <f>"00781305995"</f>
        <v>00781305995</v>
      </c>
      <c r="B506" s="3" t="s">
        <v>699</v>
      </c>
      <c r="C506" s="3" t="s">
        <v>700</v>
      </c>
      <c r="D506" s="3">
        <v>20</v>
      </c>
      <c r="E506" s="4" t="s">
        <v>178</v>
      </c>
      <c r="F506" s="5">
        <v>500</v>
      </c>
      <c r="G506" s="3">
        <v>2</v>
      </c>
      <c r="I506" s="7"/>
      <c r="J506" s="8"/>
      <c r="K506" s="9"/>
    </row>
    <row r="507" spans="1:11" x14ac:dyDescent="0.25">
      <c r="A507" t="str">
        <f>"00071036924"</f>
        <v>00071036924</v>
      </c>
      <c r="B507" t="s">
        <v>701</v>
      </c>
      <c r="C507" t="s">
        <v>702</v>
      </c>
      <c r="D507">
        <v>100</v>
      </c>
      <c r="E507" s="10" t="s">
        <v>11</v>
      </c>
      <c r="F507" s="11">
        <v>100</v>
      </c>
      <c r="G507">
        <v>100</v>
      </c>
      <c r="I507" s="12"/>
      <c r="J507" s="8"/>
      <c r="K507" s="13"/>
    </row>
    <row r="508" spans="1:11" x14ac:dyDescent="0.25">
      <c r="A508" s="3" t="str">
        <f>"00071000724"</f>
        <v>00071000724</v>
      </c>
      <c r="B508" s="3" t="s">
        <v>703</v>
      </c>
      <c r="C508" s="3" t="s">
        <v>704</v>
      </c>
      <c r="D508" s="3">
        <v>100</v>
      </c>
      <c r="E508" s="4" t="s">
        <v>11</v>
      </c>
      <c r="F508" s="5">
        <v>50</v>
      </c>
      <c r="G508" s="3">
        <v>100</v>
      </c>
      <c r="I508" s="7"/>
      <c r="J508" s="8"/>
      <c r="K508" s="9"/>
    </row>
    <row r="509" spans="1:11" x14ac:dyDescent="0.25">
      <c r="A509" t="str">
        <f>"49884083009"</f>
        <v>49884083009</v>
      </c>
      <c r="B509" t="s">
        <v>705</v>
      </c>
      <c r="C509" t="s">
        <v>706</v>
      </c>
      <c r="D509">
        <v>90</v>
      </c>
      <c r="E509" s="10" t="s">
        <v>11</v>
      </c>
      <c r="F509" s="11">
        <v>180</v>
      </c>
      <c r="G509">
        <v>90</v>
      </c>
      <c r="I509" s="12"/>
      <c r="J509" s="8"/>
      <c r="K509" s="13"/>
    </row>
    <row r="510" spans="1:11" x14ac:dyDescent="0.25">
      <c r="A510" s="3" t="str">
        <f>"68084005390"</f>
        <v>68084005390</v>
      </c>
      <c r="B510" s="3" t="s">
        <v>705</v>
      </c>
      <c r="C510" s="3" t="s">
        <v>707</v>
      </c>
      <c r="D510" s="3">
        <v>90</v>
      </c>
      <c r="E510" s="4" t="s">
        <v>11</v>
      </c>
      <c r="F510" s="5">
        <v>180</v>
      </c>
      <c r="G510" s="3">
        <v>90</v>
      </c>
      <c r="I510" s="7"/>
      <c r="J510" s="8"/>
      <c r="K510" s="9"/>
    </row>
    <row r="511" spans="1:11" x14ac:dyDescent="0.25">
      <c r="A511" t="str">
        <f>"68084005590"</f>
        <v>68084005590</v>
      </c>
      <c r="B511" t="s">
        <v>705</v>
      </c>
      <c r="C511" t="s">
        <v>708</v>
      </c>
      <c r="D511">
        <v>90</v>
      </c>
      <c r="E511" s="10" t="s">
        <v>11</v>
      </c>
      <c r="F511" s="11">
        <v>300</v>
      </c>
      <c r="G511">
        <v>90</v>
      </c>
      <c r="I511" s="12"/>
      <c r="J511" s="8"/>
      <c r="K511" s="13"/>
    </row>
    <row r="512" spans="1:11" x14ac:dyDescent="0.25">
      <c r="A512" s="3" t="str">
        <f>"00378612001"</f>
        <v>00378612001</v>
      </c>
      <c r="B512" s="3" t="s">
        <v>705</v>
      </c>
      <c r="C512" s="3" t="s">
        <v>709</v>
      </c>
      <c r="D512" s="3">
        <v>100</v>
      </c>
      <c r="E512" s="4" t="s">
        <v>11</v>
      </c>
      <c r="F512" s="5">
        <v>120</v>
      </c>
      <c r="G512" s="3">
        <v>100</v>
      </c>
      <c r="I512" s="7"/>
      <c r="J512" s="8"/>
      <c r="K512" s="9"/>
    </row>
    <row r="513" spans="1:11" x14ac:dyDescent="0.25">
      <c r="A513" t="str">
        <f>"60687020601"</f>
        <v>60687020601</v>
      </c>
      <c r="B513" t="s">
        <v>705</v>
      </c>
      <c r="C513" t="s">
        <v>710</v>
      </c>
      <c r="D513">
        <v>100</v>
      </c>
      <c r="E513" s="10" t="s">
        <v>33</v>
      </c>
      <c r="F513" s="11">
        <v>180</v>
      </c>
      <c r="G513">
        <v>100</v>
      </c>
      <c r="I513" s="12"/>
      <c r="J513" s="8"/>
      <c r="K513" s="13"/>
    </row>
    <row r="514" spans="1:11" x14ac:dyDescent="0.25">
      <c r="A514" s="3" t="str">
        <f>"00378002301"</f>
        <v>00378002301</v>
      </c>
      <c r="B514" s="3" t="s">
        <v>705</v>
      </c>
      <c r="C514" s="3" t="s">
        <v>711</v>
      </c>
      <c r="D514" s="3">
        <v>100</v>
      </c>
      <c r="E514" s="4" t="s">
        <v>11</v>
      </c>
      <c r="F514" s="5">
        <v>30</v>
      </c>
      <c r="G514" s="3">
        <v>100</v>
      </c>
      <c r="I514" s="7"/>
      <c r="J514" s="8"/>
      <c r="K514" s="9"/>
    </row>
    <row r="515" spans="1:11" x14ac:dyDescent="0.25">
      <c r="A515" t="str">
        <f>"00378004501"</f>
        <v>00378004501</v>
      </c>
      <c r="B515" t="s">
        <v>705</v>
      </c>
      <c r="C515" t="s">
        <v>712</v>
      </c>
      <c r="D515">
        <v>100</v>
      </c>
      <c r="E515" s="10" t="s">
        <v>11</v>
      </c>
      <c r="F515" s="11">
        <v>60</v>
      </c>
      <c r="G515">
        <v>100</v>
      </c>
      <c r="I515" s="12"/>
      <c r="J515" s="8"/>
      <c r="K515" s="13"/>
    </row>
    <row r="516" spans="1:11" x14ac:dyDescent="0.25">
      <c r="A516" s="3" t="str">
        <f>"00378013501"</f>
        <v>00378013501</v>
      </c>
      <c r="B516" s="3" t="s">
        <v>705</v>
      </c>
      <c r="C516" s="3" t="s">
        <v>713</v>
      </c>
      <c r="D516" s="3">
        <v>100</v>
      </c>
      <c r="E516" s="4" t="s">
        <v>11</v>
      </c>
      <c r="F516" s="5">
        <v>90</v>
      </c>
      <c r="G516" s="3">
        <v>100</v>
      </c>
      <c r="I516" s="7"/>
      <c r="J516" s="8"/>
      <c r="K516" s="9"/>
    </row>
    <row r="517" spans="1:11" x14ac:dyDescent="0.25">
      <c r="A517" t="str">
        <f>"00378522001"</f>
        <v>00378522001</v>
      </c>
      <c r="B517" t="s">
        <v>705</v>
      </c>
      <c r="C517" t="s">
        <v>714</v>
      </c>
      <c r="D517">
        <v>100</v>
      </c>
      <c r="E517" s="10" t="s">
        <v>11</v>
      </c>
      <c r="F517" s="11">
        <v>120</v>
      </c>
      <c r="G517">
        <v>100</v>
      </c>
      <c r="I517" s="12"/>
      <c r="J517" s="8"/>
      <c r="K517" s="13"/>
    </row>
    <row r="518" spans="1:11" x14ac:dyDescent="0.25">
      <c r="A518" s="3" t="str">
        <f>"00378534001"</f>
        <v>00378534001</v>
      </c>
      <c r="B518" s="3" t="s">
        <v>705</v>
      </c>
      <c r="C518" s="3" t="s">
        <v>715</v>
      </c>
      <c r="D518" s="3">
        <v>100</v>
      </c>
      <c r="E518" s="4" t="s">
        <v>11</v>
      </c>
      <c r="F518" s="5">
        <v>240</v>
      </c>
      <c r="G518" s="3">
        <v>100</v>
      </c>
      <c r="I518" s="7"/>
      <c r="J518" s="8"/>
      <c r="K518" s="9"/>
    </row>
    <row r="519" spans="1:11" x14ac:dyDescent="0.25">
      <c r="A519" t="str">
        <f>"60505001406"</f>
        <v>60505001406</v>
      </c>
      <c r="B519" t="s">
        <v>705</v>
      </c>
      <c r="C519" t="s">
        <v>716</v>
      </c>
      <c r="D519">
        <v>100</v>
      </c>
      <c r="E519" s="10" t="s">
        <v>11</v>
      </c>
      <c r="F519" s="11">
        <v>120</v>
      </c>
      <c r="G519">
        <v>100</v>
      </c>
      <c r="I519" s="12"/>
      <c r="J519" s="8"/>
      <c r="K519" s="13"/>
    </row>
    <row r="520" spans="1:11" x14ac:dyDescent="0.25">
      <c r="A520" s="3" t="str">
        <f>"00536059085"</f>
        <v>00536059085</v>
      </c>
      <c r="B520" s="3" t="s">
        <v>717</v>
      </c>
      <c r="C520" s="3" t="s">
        <v>718</v>
      </c>
      <c r="D520" s="3">
        <v>16</v>
      </c>
      <c r="E520" s="4" t="s">
        <v>20</v>
      </c>
      <c r="F520" s="5">
        <v>10</v>
      </c>
      <c r="G520" s="3">
        <v>473</v>
      </c>
      <c r="I520" s="7"/>
      <c r="J520" s="8"/>
      <c r="K520" s="9"/>
    </row>
    <row r="521" spans="1:11" x14ac:dyDescent="0.25">
      <c r="A521" t="str">
        <f>"00185064810"</f>
        <v>00185064810</v>
      </c>
      <c r="B521" t="s">
        <v>276</v>
      </c>
      <c r="C521" t="s">
        <v>719</v>
      </c>
      <c r="D521">
        <v>1000</v>
      </c>
      <c r="E521" s="10" t="s">
        <v>11</v>
      </c>
      <c r="F521" s="11">
        <v>25</v>
      </c>
      <c r="G521">
        <v>1000</v>
      </c>
      <c r="I521" s="12"/>
      <c r="J521" s="8"/>
      <c r="K521" s="13"/>
    </row>
    <row r="522" spans="1:11" x14ac:dyDescent="0.25">
      <c r="A522" s="3" t="str">
        <f>"00904530780"</f>
        <v>00904530780</v>
      </c>
      <c r="B522" s="3" t="s">
        <v>276</v>
      </c>
      <c r="C522" s="3" t="s">
        <v>720</v>
      </c>
      <c r="D522" s="3">
        <v>1000</v>
      </c>
      <c r="E522" s="4" t="s">
        <v>11</v>
      </c>
      <c r="F522" s="5">
        <v>50</v>
      </c>
      <c r="G522" s="3">
        <v>1000</v>
      </c>
      <c r="I522" s="7"/>
      <c r="J522" s="8"/>
      <c r="K522" s="9"/>
    </row>
    <row r="523" spans="1:11" x14ac:dyDescent="0.25">
      <c r="A523" t="str">
        <f>"00185064910"</f>
        <v>00185064910</v>
      </c>
      <c r="B523" t="s">
        <v>276</v>
      </c>
      <c r="C523" t="s">
        <v>721</v>
      </c>
      <c r="D523">
        <v>1000</v>
      </c>
      <c r="E523" s="10" t="s">
        <v>11</v>
      </c>
      <c r="F523" s="11">
        <v>50</v>
      </c>
      <c r="G523">
        <v>1000</v>
      </c>
      <c r="I523" s="12"/>
      <c r="J523" s="8"/>
      <c r="K523" s="13"/>
    </row>
    <row r="524" spans="1:11" x14ac:dyDescent="0.25">
      <c r="A524" s="3" t="str">
        <f>"00904530760"</f>
        <v>00904530760</v>
      </c>
      <c r="B524" s="3" t="s">
        <v>276</v>
      </c>
      <c r="C524" s="3" t="s">
        <v>722</v>
      </c>
      <c r="D524" s="3">
        <v>100</v>
      </c>
      <c r="E524" s="4" t="s">
        <v>11</v>
      </c>
      <c r="F524" s="5">
        <v>50</v>
      </c>
      <c r="G524" s="3">
        <v>100</v>
      </c>
      <c r="I524" s="7"/>
      <c r="J524" s="8"/>
      <c r="K524" s="9"/>
    </row>
    <row r="525" spans="1:11" x14ac:dyDescent="0.25">
      <c r="A525" t="str">
        <f>"00904530661"</f>
        <v>00904530661</v>
      </c>
      <c r="B525" t="s">
        <v>276</v>
      </c>
      <c r="C525" t="s">
        <v>723</v>
      </c>
      <c r="D525">
        <v>100</v>
      </c>
      <c r="E525" s="10" t="s">
        <v>11</v>
      </c>
      <c r="F525" s="11">
        <v>25</v>
      </c>
      <c r="G525">
        <v>100</v>
      </c>
      <c r="I525" s="12"/>
      <c r="J525" s="8"/>
      <c r="K525" s="13"/>
    </row>
    <row r="526" spans="1:11" x14ac:dyDescent="0.25">
      <c r="A526" s="3" t="str">
        <f>"00904205661"</f>
        <v>00904205661</v>
      </c>
      <c r="B526" s="3" t="s">
        <v>276</v>
      </c>
      <c r="C526" s="3" t="s">
        <v>724</v>
      </c>
      <c r="D526" s="3">
        <v>100</v>
      </c>
      <c r="E526" s="4" t="s">
        <v>11</v>
      </c>
      <c r="F526" s="5">
        <v>50</v>
      </c>
      <c r="G526" s="3">
        <v>100</v>
      </c>
      <c r="I526" s="7"/>
      <c r="J526" s="8"/>
      <c r="K526" s="9"/>
    </row>
    <row r="527" spans="1:11" x14ac:dyDescent="0.25">
      <c r="A527" t="str">
        <f>"42806064810"</f>
        <v>42806064810</v>
      </c>
      <c r="B527" t="s">
        <v>276</v>
      </c>
      <c r="C527" t="s">
        <v>725</v>
      </c>
      <c r="D527">
        <v>1000</v>
      </c>
      <c r="E527" s="10" t="s">
        <v>11</v>
      </c>
      <c r="F527" s="11">
        <v>25</v>
      </c>
      <c r="G527">
        <v>1000</v>
      </c>
      <c r="I527" s="12"/>
      <c r="J527" s="8"/>
      <c r="K527" s="13"/>
    </row>
    <row r="528" spans="1:11" x14ac:dyDescent="0.25">
      <c r="A528" s="3" t="str">
        <f>"42806064910"</f>
        <v>42806064910</v>
      </c>
      <c r="B528" s="3" t="s">
        <v>276</v>
      </c>
      <c r="C528" s="3" t="s">
        <v>726</v>
      </c>
      <c r="D528" s="3">
        <v>1000</v>
      </c>
      <c r="E528" s="4" t="s">
        <v>11</v>
      </c>
      <c r="F528" s="5">
        <v>50</v>
      </c>
      <c r="G528" s="3">
        <v>1000</v>
      </c>
      <c r="I528" s="7"/>
      <c r="J528" s="8"/>
      <c r="K528" s="9"/>
    </row>
    <row r="529" spans="1:11" x14ac:dyDescent="0.25">
      <c r="A529" t="str">
        <f>"00641037625"</f>
        <v>00641037625</v>
      </c>
      <c r="B529" t="s">
        <v>276</v>
      </c>
      <c r="C529" t="s">
        <v>727</v>
      </c>
      <c r="D529">
        <v>25</v>
      </c>
      <c r="E529" s="10" t="s">
        <v>11</v>
      </c>
      <c r="F529" s="11">
        <v>50</v>
      </c>
      <c r="G529">
        <v>1</v>
      </c>
      <c r="I529" s="12"/>
      <c r="J529" s="8"/>
      <c r="K529" s="13"/>
    </row>
    <row r="530" spans="1:11" x14ac:dyDescent="0.25">
      <c r="A530" s="3" t="str">
        <f>"59762106102"</f>
        <v>59762106102</v>
      </c>
      <c r="B530" s="3" t="s">
        <v>728</v>
      </c>
      <c r="C530" s="3" t="s">
        <v>729</v>
      </c>
      <c r="D530" s="3">
        <v>1000</v>
      </c>
      <c r="E530" s="4" t="s">
        <v>730</v>
      </c>
      <c r="F530" s="5" t="s">
        <v>731</v>
      </c>
      <c r="G530" s="3">
        <v>1000</v>
      </c>
      <c r="I530" s="7"/>
      <c r="J530" s="8"/>
      <c r="K530" s="9"/>
    </row>
    <row r="531" spans="1:11" x14ac:dyDescent="0.25">
      <c r="A531" t="str">
        <f>"59762106101"</f>
        <v>59762106101</v>
      </c>
      <c r="B531" t="s">
        <v>728</v>
      </c>
      <c r="C531" t="s">
        <v>732</v>
      </c>
      <c r="D531">
        <v>100</v>
      </c>
      <c r="E531" s="10" t="s">
        <v>730</v>
      </c>
      <c r="F531" s="11" t="s">
        <v>733</v>
      </c>
      <c r="G531">
        <v>100</v>
      </c>
      <c r="I531" s="12"/>
      <c r="J531" s="8"/>
      <c r="K531" s="13"/>
    </row>
    <row r="532" spans="1:11" x14ac:dyDescent="0.25">
      <c r="A532" s="3" t="str">
        <f>"00378041501"</f>
        <v>00378041501</v>
      </c>
      <c r="B532" s="3" t="s">
        <v>728</v>
      </c>
      <c r="C532" s="3" t="s">
        <v>732</v>
      </c>
      <c r="D532" s="3">
        <v>100</v>
      </c>
      <c r="E532" s="4" t="s">
        <v>730</v>
      </c>
      <c r="F532" s="5" t="s">
        <v>733</v>
      </c>
      <c r="G532" s="3">
        <v>100</v>
      </c>
      <c r="I532" s="7"/>
      <c r="J532" s="8"/>
      <c r="K532" s="9"/>
    </row>
    <row r="533" spans="1:11" x14ac:dyDescent="0.25">
      <c r="A533" t="str">
        <f>"68382010601"</f>
        <v>68382010601</v>
      </c>
      <c r="B533" t="s">
        <v>734</v>
      </c>
      <c r="C533" t="s">
        <v>735</v>
      </c>
      <c r="D533">
        <v>100</v>
      </c>
      <c r="E533" s="10" t="s">
        <v>736</v>
      </c>
      <c r="F533" s="11">
        <v>125</v>
      </c>
      <c r="G533">
        <v>100</v>
      </c>
      <c r="I533" s="12"/>
      <c r="J533" s="8"/>
      <c r="K533" s="13"/>
    </row>
    <row r="534" spans="1:11" x14ac:dyDescent="0.25">
      <c r="A534" s="3" t="str">
        <f>"62756079888"</f>
        <v>62756079888</v>
      </c>
      <c r="B534" s="3" t="s">
        <v>734</v>
      </c>
      <c r="C534" s="3" t="s">
        <v>737</v>
      </c>
      <c r="D534" s="3">
        <v>100</v>
      </c>
      <c r="E534" s="4" t="s">
        <v>11</v>
      </c>
      <c r="F534" s="5">
        <v>500</v>
      </c>
      <c r="G534" s="3">
        <v>100</v>
      </c>
      <c r="I534" s="7"/>
      <c r="J534" s="8"/>
      <c r="K534" s="9"/>
    </row>
    <row r="535" spans="1:11" x14ac:dyDescent="0.25">
      <c r="A535" t="str">
        <f>"68382003301"</f>
        <v>68382003301</v>
      </c>
      <c r="B535" t="s">
        <v>734</v>
      </c>
      <c r="C535" t="s">
        <v>737</v>
      </c>
      <c r="D535">
        <v>100</v>
      </c>
      <c r="E535" s="10" t="s">
        <v>648</v>
      </c>
      <c r="F535" s="11">
        <v>500</v>
      </c>
      <c r="G535">
        <v>100</v>
      </c>
      <c r="I535" s="12"/>
      <c r="J535" s="8"/>
      <c r="K535" s="13"/>
    </row>
    <row r="536" spans="1:11" x14ac:dyDescent="0.25">
      <c r="A536" s="3" t="str">
        <f>"68382003305"</f>
        <v>68382003305</v>
      </c>
      <c r="B536" s="3" t="s">
        <v>734</v>
      </c>
      <c r="C536" s="3" t="s">
        <v>738</v>
      </c>
      <c r="D536" s="3">
        <v>500</v>
      </c>
      <c r="E536" s="4" t="s">
        <v>648</v>
      </c>
      <c r="F536" s="5">
        <v>500</v>
      </c>
      <c r="G536" s="3">
        <v>500</v>
      </c>
      <c r="I536" s="7"/>
      <c r="J536" s="8"/>
      <c r="K536" s="9"/>
    </row>
    <row r="537" spans="1:11" x14ac:dyDescent="0.25">
      <c r="A537" t="str">
        <f>"62756079813"</f>
        <v>62756079813</v>
      </c>
      <c r="B537" t="s">
        <v>734</v>
      </c>
      <c r="C537" t="s">
        <v>738</v>
      </c>
      <c r="D537">
        <v>500</v>
      </c>
      <c r="E537" s="10" t="s">
        <v>11</v>
      </c>
      <c r="F537" s="11">
        <v>500</v>
      </c>
      <c r="G537">
        <v>500</v>
      </c>
      <c r="I537" s="12"/>
      <c r="J537" s="8"/>
      <c r="K537" s="13"/>
    </row>
    <row r="538" spans="1:11" x14ac:dyDescent="0.25">
      <c r="A538" s="3" t="str">
        <f>"68001010600"</f>
        <v>68001010600</v>
      </c>
      <c r="B538" s="3" t="s">
        <v>734</v>
      </c>
      <c r="C538" s="3" t="s">
        <v>739</v>
      </c>
      <c r="D538" s="3">
        <v>100</v>
      </c>
      <c r="E538" s="4" t="s">
        <v>11</v>
      </c>
      <c r="F538" s="5">
        <v>500</v>
      </c>
      <c r="G538" s="3">
        <v>100</v>
      </c>
      <c r="I538" s="7"/>
      <c r="J538" s="8"/>
      <c r="K538" s="9"/>
    </row>
    <row r="539" spans="1:11" x14ac:dyDescent="0.25">
      <c r="A539" t="str">
        <f>"68001010603"</f>
        <v>68001010603</v>
      </c>
      <c r="B539" t="s">
        <v>734</v>
      </c>
      <c r="C539" t="s">
        <v>740</v>
      </c>
      <c r="D539">
        <v>500</v>
      </c>
      <c r="E539" s="10" t="s">
        <v>11</v>
      </c>
      <c r="F539" s="11">
        <v>500</v>
      </c>
      <c r="G539">
        <v>500</v>
      </c>
      <c r="I539" s="12"/>
      <c r="J539" s="8"/>
      <c r="K539" s="13"/>
    </row>
    <row r="540" spans="1:11" x14ac:dyDescent="0.25">
      <c r="A540" s="3" t="str">
        <f>"68084077601"</f>
        <v>68084077601</v>
      </c>
      <c r="B540" s="3" t="s">
        <v>734</v>
      </c>
      <c r="C540" s="3" t="s">
        <v>741</v>
      </c>
      <c r="D540" s="3">
        <v>100</v>
      </c>
      <c r="E540" s="4" t="s">
        <v>648</v>
      </c>
      <c r="F540" s="5">
        <v>250</v>
      </c>
      <c r="G540" s="3">
        <v>100</v>
      </c>
      <c r="I540" s="7"/>
      <c r="J540" s="8"/>
      <c r="K540" s="9"/>
    </row>
    <row r="541" spans="1:11" x14ac:dyDescent="0.25">
      <c r="A541" t="str">
        <f>"68382003205"</f>
        <v>68382003205</v>
      </c>
      <c r="B541" t="s">
        <v>734</v>
      </c>
      <c r="C541" t="s">
        <v>742</v>
      </c>
      <c r="D541">
        <v>500</v>
      </c>
      <c r="E541" s="10" t="s">
        <v>648</v>
      </c>
      <c r="F541" s="11">
        <v>250</v>
      </c>
      <c r="G541">
        <v>500</v>
      </c>
      <c r="I541" s="12"/>
      <c r="J541" s="8"/>
      <c r="K541" s="13"/>
    </row>
    <row r="542" spans="1:11" x14ac:dyDescent="0.25">
      <c r="A542" s="3" t="str">
        <f>"68084078261"</f>
        <v>68084078261</v>
      </c>
      <c r="B542" s="3" t="s">
        <v>734</v>
      </c>
      <c r="C542" s="3" t="s">
        <v>743</v>
      </c>
      <c r="D542" s="3">
        <v>90</v>
      </c>
      <c r="E542" s="4" t="s">
        <v>648</v>
      </c>
      <c r="F542" s="5">
        <v>500</v>
      </c>
      <c r="G542" s="3">
        <v>90</v>
      </c>
      <c r="I542" s="7"/>
      <c r="J542" s="8"/>
      <c r="K542" s="9"/>
    </row>
    <row r="543" spans="1:11" x14ac:dyDescent="0.25">
      <c r="A543" t="str">
        <f>"68001010500"</f>
        <v>68001010500</v>
      </c>
      <c r="B543" t="s">
        <v>734</v>
      </c>
      <c r="C543" t="s">
        <v>744</v>
      </c>
      <c r="D543">
        <v>100</v>
      </c>
      <c r="E543" s="10" t="s">
        <v>33</v>
      </c>
      <c r="F543" s="11">
        <v>250</v>
      </c>
      <c r="G543">
        <v>100</v>
      </c>
      <c r="I543" s="12"/>
      <c r="J543" s="8"/>
      <c r="K543" s="13"/>
    </row>
    <row r="544" spans="1:11" x14ac:dyDescent="0.25">
      <c r="A544" s="3" t="str">
        <f>"63739047810"</f>
        <v>63739047810</v>
      </c>
      <c r="B544" s="3" t="s">
        <v>717</v>
      </c>
      <c r="C544" s="3" t="s">
        <v>745</v>
      </c>
      <c r="D544" s="3">
        <v>100</v>
      </c>
      <c r="E544" s="4" t="s">
        <v>11</v>
      </c>
      <c r="F544" s="5">
        <v>100</v>
      </c>
      <c r="G544" s="3">
        <v>100</v>
      </c>
      <c r="I544" s="7"/>
      <c r="J544" s="8"/>
      <c r="K544" s="9"/>
    </row>
    <row r="545" spans="1:11" x14ac:dyDescent="0.25">
      <c r="A545" t="str">
        <f>"59762003802"</f>
        <v>59762003802</v>
      </c>
      <c r="B545" t="s">
        <v>746</v>
      </c>
      <c r="C545" t="s">
        <v>747</v>
      </c>
      <c r="D545">
        <v>60</v>
      </c>
      <c r="E545" s="10" t="s">
        <v>178</v>
      </c>
      <c r="F545" s="11">
        <v>250</v>
      </c>
      <c r="G545">
        <v>60</v>
      </c>
      <c r="I545" s="12"/>
      <c r="J545" s="8"/>
      <c r="K545" s="13"/>
    </row>
    <row r="546" spans="1:11" x14ac:dyDescent="0.25">
      <c r="A546" s="3" t="str">
        <f>"00904645780"</f>
        <v>00904645780</v>
      </c>
      <c r="B546" s="3" t="s">
        <v>717</v>
      </c>
      <c r="C546" s="3" t="s">
        <v>748</v>
      </c>
      <c r="D546" s="3">
        <v>1000</v>
      </c>
      <c r="E546" s="4" t="s">
        <v>11</v>
      </c>
      <c r="F546" s="5">
        <v>100</v>
      </c>
      <c r="G546" s="3">
        <v>1000</v>
      </c>
      <c r="I546" s="7"/>
      <c r="J546" s="8"/>
      <c r="K546" s="9"/>
    </row>
    <row r="547" spans="1:11" x14ac:dyDescent="0.25">
      <c r="A547" t="str">
        <f>"13668010330"</f>
        <v>13668010330</v>
      </c>
      <c r="B547" t="s">
        <v>749</v>
      </c>
      <c r="C547" t="s">
        <v>750</v>
      </c>
      <c r="D547">
        <v>30</v>
      </c>
      <c r="E547" s="10" t="s">
        <v>11</v>
      </c>
      <c r="F547" s="11">
        <v>10</v>
      </c>
      <c r="G547">
        <v>30</v>
      </c>
      <c r="I547" s="12"/>
      <c r="J547" s="8"/>
      <c r="K547" s="13"/>
    </row>
    <row r="548" spans="1:11" x14ac:dyDescent="0.25">
      <c r="A548" s="3" t="str">
        <f>"13668010290"</f>
        <v>13668010290</v>
      </c>
      <c r="B548" s="3" t="s">
        <v>749</v>
      </c>
      <c r="C548" s="3" t="s">
        <v>751</v>
      </c>
      <c r="D548" s="3">
        <v>90</v>
      </c>
      <c r="E548" s="4" t="s">
        <v>11</v>
      </c>
      <c r="F548" s="5">
        <v>5</v>
      </c>
      <c r="G548" s="3">
        <v>90</v>
      </c>
      <c r="I548" s="7"/>
      <c r="J548" s="8"/>
      <c r="K548" s="9"/>
    </row>
    <row r="549" spans="1:11" x14ac:dyDescent="0.25">
      <c r="A549" t="str">
        <f>"00093761843"</f>
        <v>00093761843</v>
      </c>
      <c r="B549" t="s">
        <v>752</v>
      </c>
      <c r="C549" t="s">
        <v>753</v>
      </c>
      <c r="D549">
        <v>10</v>
      </c>
      <c r="E549" s="10" t="s">
        <v>43</v>
      </c>
      <c r="F549" s="11">
        <v>2</v>
      </c>
      <c r="G549">
        <v>10</v>
      </c>
      <c r="I549" s="12"/>
      <c r="J549" s="8"/>
      <c r="K549" s="13"/>
    </row>
    <row r="550" spans="1:11" x14ac:dyDescent="0.25">
      <c r="A550" s="3" t="str">
        <f>"61314001910"</f>
        <v>61314001910</v>
      </c>
      <c r="B550" s="3" t="s">
        <v>752</v>
      </c>
      <c r="C550" s="3" t="s">
        <v>753</v>
      </c>
      <c r="D550" s="3">
        <v>10</v>
      </c>
      <c r="E550" s="4" t="s">
        <v>43</v>
      </c>
      <c r="F550" s="5">
        <v>2</v>
      </c>
      <c r="G550" s="3">
        <v>10</v>
      </c>
      <c r="I550" s="7"/>
      <c r="J550" s="8"/>
      <c r="K550" s="9"/>
    </row>
    <row r="551" spans="1:11" x14ac:dyDescent="0.25">
      <c r="A551" t="str">
        <f>"50383023310"</f>
        <v>50383023310</v>
      </c>
      <c r="B551" t="s">
        <v>754</v>
      </c>
      <c r="C551" t="s">
        <v>755</v>
      </c>
      <c r="D551">
        <v>10</v>
      </c>
      <c r="E551" s="10">
        <v>5.0000000000000001E-3</v>
      </c>
      <c r="F551" s="11" t="s">
        <v>756</v>
      </c>
      <c r="G551">
        <v>10</v>
      </c>
      <c r="I551" s="12"/>
      <c r="J551" s="8"/>
      <c r="K551" s="13"/>
    </row>
    <row r="552" spans="1:11" x14ac:dyDescent="0.25">
      <c r="A552" s="3" t="str">
        <f>"61314003002"</f>
        <v>61314003002</v>
      </c>
      <c r="B552" s="3" t="s">
        <v>754</v>
      </c>
      <c r="C552" s="3" t="s">
        <v>755</v>
      </c>
      <c r="D552" s="3">
        <v>10</v>
      </c>
      <c r="E552" s="4">
        <v>5.0000000000000001E-3</v>
      </c>
      <c r="F552" s="5" t="s">
        <v>756</v>
      </c>
      <c r="G552" s="3">
        <v>10</v>
      </c>
      <c r="I552" s="7"/>
      <c r="J552" s="8"/>
      <c r="K552" s="9"/>
    </row>
    <row r="553" spans="1:11" x14ac:dyDescent="0.25">
      <c r="A553" t="str">
        <f>"16729021301"</f>
        <v>16729021301</v>
      </c>
      <c r="B553" t="s">
        <v>757</v>
      </c>
      <c r="C553" t="s">
        <v>758</v>
      </c>
      <c r="D553">
        <v>100</v>
      </c>
      <c r="E553" s="10" t="s">
        <v>11</v>
      </c>
      <c r="F553" s="11">
        <v>4</v>
      </c>
      <c r="G553">
        <v>100</v>
      </c>
      <c r="I553" s="12"/>
      <c r="J553" s="8"/>
      <c r="K553" s="13"/>
    </row>
    <row r="554" spans="1:11" x14ac:dyDescent="0.25">
      <c r="A554" s="3" t="str">
        <f>"00378402201"</f>
        <v>00378402201</v>
      </c>
      <c r="B554" s="3" t="s">
        <v>757</v>
      </c>
      <c r="C554" s="3" t="s">
        <v>759</v>
      </c>
      <c r="D554" s="3">
        <v>100</v>
      </c>
      <c r="E554" s="4" t="s">
        <v>11</v>
      </c>
      <c r="F554" s="5">
        <v>2</v>
      </c>
      <c r="G554" s="3">
        <v>100</v>
      </c>
      <c r="I554" s="7"/>
      <c r="J554" s="8"/>
      <c r="K554" s="9"/>
    </row>
    <row r="555" spans="1:11" x14ac:dyDescent="0.25">
      <c r="A555" t="str">
        <f>"59762234006"</f>
        <v>59762234006</v>
      </c>
      <c r="B555" t="s">
        <v>757</v>
      </c>
      <c r="C555" t="s">
        <v>760</v>
      </c>
      <c r="D555">
        <v>100</v>
      </c>
      <c r="E555" s="10" t="s">
        <v>11</v>
      </c>
      <c r="F555" s="11">
        <v>4</v>
      </c>
      <c r="G555">
        <v>100</v>
      </c>
      <c r="I555" s="12"/>
      <c r="J555" s="8"/>
      <c r="K555" s="13"/>
    </row>
    <row r="556" spans="1:11" x14ac:dyDescent="0.25">
      <c r="A556" s="3" t="str">
        <f>"00378104901"</f>
        <v>00378104901</v>
      </c>
      <c r="B556" s="3" t="s">
        <v>761</v>
      </c>
      <c r="C556" s="3" t="s">
        <v>762</v>
      </c>
      <c r="D556" s="3">
        <v>100</v>
      </c>
      <c r="E556" s="4" t="s">
        <v>11</v>
      </c>
      <c r="F556" s="5">
        <v>10</v>
      </c>
      <c r="G556" s="3">
        <v>100</v>
      </c>
      <c r="I556" s="7"/>
      <c r="J556" s="8"/>
      <c r="K556" s="9"/>
    </row>
    <row r="557" spans="1:11" x14ac:dyDescent="0.25">
      <c r="A557" t="str">
        <f>"60432065104"</f>
        <v>60432065104</v>
      </c>
      <c r="B557" t="s">
        <v>761</v>
      </c>
      <c r="C557" t="s">
        <v>763</v>
      </c>
      <c r="D557">
        <v>4</v>
      </c>
      <c r="E557" s="10" t="s">
        <v>20</v>
      </c>
      <c r="F557" s="11">
        <v>10</v>
      </c>
      <c r="G557">
        <v>118</v>
      </c>
      <c r="I557" s="12"/>
      <c r="J557" s="8"/>
      <c r="K557" s="13"/>
    </row>
    <row r="558" spans="1:11" x14ac:dyDescent="0.25">
      <c r="A558" s="3" t="str">
        <f>"00378641001"</f>
        <v>00378641001</v>
      </c>
      <c r="B558" s="3" t="s">
        <v>761</v>
      </c>
      <c r="C558" s="3" t="s">
        <v>764</v>
      </c>
      <c r="D558" s="3">
        <v>100</v>
      </c>
      <c r="E558" s="4" t="s">
        <v>11</v>
      </c>
      <c r="F558" s="5">
        <v>100</v>
      </c>
      <c r="G558" s="3">
        <v>100</v>
      </c>
      <c r="I558" s="7"/>
      <c r="J558" s="8"/>
      <c r="K558" s="9"/>
    </row>
    <row r="559" spans="1:11" x14ac:dyDescent="0.25">
      <c r="A559" t="str">
        <f>"49884022201"</f>
        <v>49884022201</v>
      </c>
      <c r="B559" t="s">
        <v>761</v>
      </c>
      <c r="C559" t="s">
        <v>765</v>
      </c>
      <c r="D559">
        <v>100</v>
      </c>
      <c r="E559" s="10" t="s">
        <v>11</v>
      </c>
      <c r="F559" s="11">
        <v>150</v>
      </c>
      <c r="G559">
        <v>100</v>
      </c>
      <c r="I559" s="12"/>
      <c r="J559" s="8"/>
      <c r="K559" s="13"/>
    </row>
    <row r="560" spans="1:11" x14ac:dyDescent="0.25">
      <c r="A560" s="3" t="str">
        <f>"00378312501"</f>
        <v>00378312501</v>
      </c>
      <c r="B560" s="3" t="s">
        <v>761</v>
      </c>
      <c r="C560" s="3" t="s">
        <v>766</v>
      </c>
      <c r="D560" s="3">
        <v>100</v>
      </c>
      <c r="E560" s="4" t="s">
        <v>11</v>
      </c>
      <c r="F560" s="5">
        <v>25</v>
      </c>
      <c r="G560" s="3">
        <v>100</v>
      </c>
      <c r="I560" s="7"/>
      <c r="J560" s="8"/>
      <c r="K560" s="9"/>
    </row>
    <row r="561" spans="1:11" x14ac:dyDescent="0.25">
      <c r="A561" t="str">
        <f>"51079043720"</f>
        <v>51079043720</v>
      </c>
      <c r="B561" t="s">
        <v>761</v>
      </c>
      <c r="C561" t="s">
        <v>767</v>
      </c>
      <c r="D561">
        <v>100</v>
      </c>
      <c r="E561" s="10" t="s">
        <v>11</v>
      </c>
      <c r="F561" s="11">
        <v>25</v>
      </c>
      <c r="G561">
        <v>100</v>
      </c>
      <c r="I561" s="12"/>
      <c r="J561" s="8"/>
      <c r="K561" s="13"/>
    </row>
    <row r="562" spans="1:11" x14ac:dyDescent="0.25">
      <c r="A562" s="3" t="str">
        <f>"00378425001"</f>
        <v>00378425001</v>
      </c>
      <c r="B562" s="3" t="s">
        <v>761</v>
      </c>
      <c r="C562" s="3" t="s">
        <v>768</v>
      </c>
      <c r="D562" s="3">
        <v>100</v>
      </c>
      <c r="E562" s="4" t="s">
        <v>11</v>
      </c>
      <c r="F562" s="5">
        <v>50</v>
      </c>
      <c r="G562" s="3">
        <v>100</v>
      </c>
      <c r="I562" s="7"/>
      <c r="J562" s="8"/>
      <c r="K562" s="9"/>
    </row>
    <row r="563" spans="1:11" x14ac:dyDescent="0.25">
      <c r="A563" t="str">
        <f>"51079043820"</f>
        <v>51079043820</v>
      </c>
      <c r="B563" t="s">
        <v>761</v>
      </c>
      <c r="C563" t="s">
        <v>769</v>
      </c>
      <c r="D563">
        <v>100</v>
      </c>
      <c r="E563" s="10" t="s">
        <v>11</v>
      </c>
      <c r="F563" s="11">
        <v>50</v>
      </c>
      <c r="G563">
        <v>100</v>
      </c>
      <c r="I563" s="12"/>
      <c r="J563" s="8"/>
      <c r="K563" s="13"/>
    </row>
    <row r="564" spans="1:11" x14ac:dyDescent="0.25">
      <c r="A564" s="3" t="str">
        <f>"00378537501"</f>
        <v>00378537501</v>
      </c>
      <c r="B564" s="3" t="s">
        <v>761</v>
      </c>
      <c r="C564" s="3" t="s">
        <v>770</v>
      </c>
      <c r="D564" s="3">
        <v>100</v>
      </c>
      <c r="E564" s="4" t="s">
        <v>11</v>
      </c>
      <c r="F564" s="5">
        <v>75</v>
      </c>
      <c r="G564" s="3">
        <v>100</v>
      </c>
      <c r="I564" s="7"/>
      <c r="J564" s="8"/>
      <c r="K564" s="9"/>
    </row>
    <row r="565" spans="1:11" x14ac:dyDescent="0.25">
      <c r="A565" t="str">
        <f>"00527133825"</f>
        <v>00527133825</v>
      </c>
      <c r="B565" t="s">
        <v>771</v>
      </c>
      <c r="C565" t="s">
        <v>772</v>
      </c>
      <c r="D565">
        <v>250</v>
      </c>
      <c r="E565" s="10" t="s">
        <v>11</v>
      </c>
      <c r="F565" s="11">
        <v>100</v>
      </c>
      <c r="G565">
        <v>250</v>
      </c>
      <c r="I565" s="12"/>
      <c r="J565" s="8"/>
      <c r="K565" s="13"/>
    </row>
    <row r="566" spans="1:11" x14ac:dyDescent="0.25">
      <c r="A566" s="3" t="str">
        <f>"00527133850"</f>
        <v>00527133850</v>
      </c>
      <c r="B566" s="3" t="s">
        <v>771</v>
      </c>
      <c r="C566" s="3" t="s">
        <v>773</v>
      </c>
      <c r="D566" s="3">
        <v>50</v>
      </c>
      <c r="E566" s="4" t="s">
        <v>11</v>
      </c>
      <c r="F566" s="5">
        <v>100</v>
      </c>
      <c r="G566" s="3">
        <v>50</v>
      </c>
      <c r="I566" s="7"/>
      <c r="J566" s="8"/>
      <c r="K566" s="9"/>
    </row>
    <row r="567" spans="1:11" x14ac:dyDescent="0.25">
      <c r="A567" t="str">
        <f>"60505299506"</f>
        <v>60505299506</v>
      </c>
      <c r="B567" t="s">
        <v>774</v>
      </c>
      <c r="C567" t="s">
        <v>775</v>
      </c>
      <c r="D567">
        <v>60</v>
      </c>
      <c r="E567" s="10" t="s">
        <v>648</v>
      </c>
      <c r="F567" s="11">
        <v>20</v>
      </c>
      <c r="G567">
        <v>60</v>
      </c>
      <c r="I567" s="12"/>
      <c r="J567" s="8"/>
      <c r="K567" s="13"/>
    </row>
    <row r="568" spans="1:11" x14ac:dyDescent="0.25">
      <c r="A568" s="3" t="str">
        <f>"68001025605"</f>
        <v>68001025605</v>
      </c>
      <c r="B568" s="3" t="s">
        <v>774</v>
      </c>
      <c r="C568" s="3" t="s">
        <v>776</v>
      </c>
      <c r="D568" s="3">
        <v>90</v>
      </c>
      <c r="E568" s="4" t="s">
        <v>648</v>
      </c>
      <c r="F568" s="5">
        <v>30</v>
      </c>
      <c r="G568" s="3">
        <v>90</v>
      </c>
      <c r="I568" s="7"/>
      <c r="J568" s="8"/>
      <c r="K568" s="9"/>
    </row>
    <row r="569" spans="1:11" x14ac:dyDescent="0.25">
      <c r="A569" t="str">
        <f>"47335038318"</f>
        <v>47335038318</v>
      </c>
      <c r="B569" t="s">
        <v>774</v>
      </c>
      <c r="C569" t="s">
        <v>777</v>
      </c>
      <c r="D569">
        <v>1000</v>
      </c>
      <c r="E569" s="10" t="s">
        <v>648</v>
      </c>
      <c r="F569" s="11">
        <v>60</v>
      </c>
      <c r="G569">
        <v>1000</v>
      </c>
      <c r="I569" s="12"/>
      <c r="J569" s="8"/>
      <c r="K569" s="13"/>
    </row>
    <row r="570" spans="1:11" x14ac:dyDescent="0.25">
      <c r="A570" s="3" t="str">
        <f>"11017025220"</f>
        <v>11017025220</v>
      </c>
      <c r="B570" s="3" t="s">
        <v>778</v>
      </c>
      <c r="C570" s="3" t="s">
        <v>779</v>
      </c>
      <c r="D570" s="3">
        <v>0.33</v>
      </c>
      <c r="E570" s="4"/>
      <c r="F570" s="5"/>
      <c r="G570" s="3">
        <v>9.8000000000000007</v>
      </c>
      <c r="I570" s="7"/>
      <c r="J570" s="8"/>
      <c r="K570" s="9"/>
    </row>
    <row r="571" spans="1:11" x14ac:dyDescent="0.25">
      <c r="A571" t="str">
        <f>"00065924007"</f>
        <v>00065924007</v>
      </c>
      <c r="B571" t="s">
        <v>780</v>
      </c>
      <c r="C571" t="s">
        <v>781</v>
      </c>
      <c r="D571">
        <v>5</v>
      </c>
      <c r="E571" s="10" t="s">
        <v>43</v>
      </c>
      <c r="F571" s="11">
        <v>0.05</v>
      </c>
      <c r="G571">
        <v>5</v>
      </c>
      <c r="I571" s="12"/>
      <c r="J571" s="8"/>
      <c r="K571" s="13"/>
    </row>
    <row r="572" spans="1:11" x14ac:dyDescent="0.25">
      <c r="A572" s="3" t="str">
        <f>"00904662735"</f>
        <v>00904662735</v>
      </c>
      <c r="B572" s="3" t="s">
        <v>782</v>
      </c>
      <c r="C572" s="3" t="s">
        <v>783</v>
      </c>
      <c r="D572" s="3">
        <v>15</v>
      </c>
      <c r="E572" s="4" t="s">
        <v>43</v>
      </c>
      <c r="F572" s="5">
        <v>6.5</v>
      </c>
      <c r="G572" s="3">
        <v>15</v>
      </c>
      <c r="I572" s="7"/>
      <c r="J572" s="8"/>
      <c r="K572" s="9"/>
    </row>
    <row r="573" spans="1:11" x14ac:dyDescent="0.25">
      <c r="A573" t="str">
        <f>"00187510102"</f>
        <v>00187510102</v>
      </c>
      <c r="B573" t="s">
        <v>784</v>
      </c>
      <c r="C573" t="s">
        <v>785</v>
      </c>
      <c r="D573">
        <v>60</v>
      </c>
      <c r="E573" s="10" t="s">
        <v>43</v>
      </c>
      <c r="F573" s="11">
        <v>1</v>
      </c>
      <c r="G573">
        <v>60</v>
      </c>
      <c r="I573" s="12"/>
      <c r="J573" s="8"/>
      <c r="K573" s="13"/>
    </row>
    <row r="574" spans="1:11" x14ac:dyDescent="0.25">
      <c r="A574" s="3" t="str">
        <f>"00003089321"</f>
        <v>00003089321</v>
      </c>
      <c r="B574" s="3" t="s">
        <v>786</v>
      </c>
      <c r="C574" s="3" t="s">
        <v>787</v>
      </c>
      <c r="D574" s="3">
        <v>60</v>
      </c>
      <c r="E574" s="4" t="s">
        <v>11</v>
      </c>
      <c r="F574" s="5">
        <v>2.5</v>
      </c>
      <c r="G574" s="3">
        <v>60</v>
      </c>
      <c r="I574" s="7"/>
      <c r="J574" s="8"/>
      <c r="K574" s="9"/>
    </row>
    <row r="575" spans="1:11" x14ac:dyDescent="0.25">
      <c r="A575" t="str">
        <f>"00003089421"</f>
        <v>00003089421</v>
      </c>
      <c r="B575" t="s">
        <v>786</v>
      </c>
      <c r="C575" t="s">
        <v>788</v>
      </c>
      <c r="D575">
        <v>60</v>
      </c>
      <c r="E575" s="10" t="s">
        <v>11</v>
      </c>
      <c r="F575" s="11">
        <v>5</v>
      </c>
      <c r="G575">
        <v>60</v>
      </c>
      <c r="I575" s="12"/>
      <c r="J575" s="8"/>
      <c r="K575" s="13"/>
    </row>
    <row r="576" spans="1:11" x14ac:dyDescent="0.25">
      <c r="A576" s="3" t="str">
        <f>"50458009801"</f>
        <v>50458009801</v>
      </c>
      <c r="B576" s="3" t="s">
        <v>789</v>
      </c>
      <c r="C576" s="3" t="s">
        <v>790</v>
      </c>
      <c r="D576" s="3">
        <v>100</v>
      </c>
      <c r="E576" s="4" t="s">
        <v>11</v>
      </c>
      <c r="F576" s="5">
        <v>100</v>
      </c>
      <c r="G576" s="3">
        <v>100</v>
      </c>
      <c r="I576" s="7"/>
      <c r="J576" s="8"/>
      <c r="K576" s="9"/>
    </row>
    <row r="577" spans="1:11" x14ac:dyDescent="0.25">
      <c r="A577" t="str">
        <f>"00006386203"</f>
        <v>00006386203</v>
      </c>
      <c r="B577" t="s">
        <v>791</v>
      </c>
      <c r="C577" t="s">
        <v>792</v>
      </c>
      <c r="D577">
        <v>3</v>
      </c>
      <c r="E577" s="10" t="s">
        <v>793</v>
      </c>
      <c r="F577" s="11" t="s">
        <v>794</v>
      </c>
      <c r="G577">
        <v>3</v>
      </c>
      <c r="I577" s="12"/>
      <c r="J577" s="8"/>
      <c r="K577" s="13"/>
    </row>
    <row r="578" spans="1:11" x14ac:dyDescent="0.25">
      <c r="A578" s="3" t="str">
        <f>"61958060101"</f>
        <v>61958060101</v>
      </c>
      <c r="B578" s="3" t="s">
        <v>795</v>
      </c>
      <c r="C578" s="3" t="s">
        <v>796</v>
      </c>
      <c r="D578" s="3">
        <v>30</v>
      </c>
      <c r="E578" s="4" t="s">
        <v>11</v>
      </c>
      <c r="F578" s="5">
        <v>200</v>
      </c>
      <c r="G578" s="3">
        <v>30</v>
      </c>
      <c r="I578" s="7"/>
      <c r="J578" s="8"/>
      <c r="K578" s="9"/>
    </row>
    <row r="579" spans="1:11" x14ac:dyDescent="0.25">
      <c r="A579" t="str">
        <f>"00430017015"</f>
        <v>00430017015</v>
      </c>
      <c r="B579" t="s">
        <v>797</v>
      </c>
      <c r="C579" t="s">
        <v>798</v>
      </c>
      <c r="D579">
        <v>30</v>
      </c>
      <c r="E579" s="10" t="s">
        <v>11</v>
      </c>
      <c r="F579" s="11">
        <v>7.5</v>
      </c>
      <c r="G579">
        <v>30</v>
      </c>
      <c r="I579" s="12"/>
      <c r="J579" s="8"/>
      <c r="K579" s="13"/>
    </row>
    <row r="580" spans="1:11" x14ac:dyDescent="0.25">
      <c r="A580" s="3" t="str">
        <f>"64679092503"</f>
        <v>64679092503</v>
      </c>
      <c r="B580" s="3" t="s">
        <v>799</v>
      </c>
      <c r="C580" s="3" t="s">
        <v>800</v>
      </c>
      <c r="D580" s="3">
        <v>1000</v>
      </c>
      <c r="E580" s="4" t="s">
        <v>11</v>
      </c>
      <c r="F580" s="5">
        <v>10</v>
      </c>
      <c r="G580" s="3">
        <v>1000</v>
      </c>
      <c r="I580" s="7"/>
      <c r="J580" s="8"/>
      <c r="K580" s="9"/>
    </row>
    <row r="581" spans="1:11" x14ac:dyDescent="0.25">
      <c r="A581" t="str">
        <f>"00378105101"</f>
        <v>00378105101</v>
      </c>
      <c r="B581" t="s">
        <v>799</v>
      </c>
      <c r="C581" t="s">
        <v>801</v>
      </c>
      <c r="D581">
        <v>100</v>
      </c>
      <c r="E581" s="10" t="s">
        <v>11</v>
      </c>
      <c r="F581" s="11">
        <v>2.5</v>
      </c>
      <c r="G581">
        <v>100</v>
      </c>
      <c r="I581" s="12"/>
      <c r="J581" s="8"/>
      <c r="K581" s="13"/>
    </row>
    <row r="582" spans="1:11" x14ac:dyDescent="0.25">
      <c r="A582" s="3" t="str">
        <f>"00093002701"</f>
        <v>00093002701</v>
      </c>
      <c r="B582" s="3" t="s">
        <v>799</v>
      </c>
      <c r="C582" s="3" t="s">
        <v>802</v>
      </c>
      <c r="D582" s="3">
        <v>100</v>
      </c>
      <c r="E582" s="4" t="s">
        <v>11</v>
      </c>
      <c r="F582" s="5">
        <v>5</v>
      </c>
      <c r="G582" s="3">
        <v>100</v>
      </c>
      <c r="I582" s="7"/>
      <c r="J582" s="8"/>
      <c r="K582" s="9"/>
    </row>
    <row r="583" spans="1:11" x14ac:dyDescent="0.25">
      <c r="A583" t="str">
        <f>"58406043504"</f>
        <v>58406043504</v>
      </c>
      <c r="B583" t="s">
        <v>803</v>
      </c>
      <c r="C583" t="s">
        <v>804</v>
      </c>
      <c r="D583">
        <v>4</v>
      </c>
      <c r="E583" s="10" t="s">
        <v>805</v>
      </c>
      <c r="F583" s="11" t="s">
        <v>806</v>
      </c>
      <c r="G583">
        <v>0.98</v>
      </c>
      <c r="I583" s="12"/>
      <c r="J583" s="8"/>
      <c r="K583" s="13"/>
    </row>
    <row r="584" spans="1:11" x14ac:dyDescent="0.25">
      <c r="A584" s="3" t="str">
        <f>"58160082011"</f>
        <v>58160082011</v>
      </c>
      <c r="B584" s="3" t="s">
        <v>807</v>
      </c>
      <c r="C584" s="3" t="s">
        <v>808</v>
      </c>
      <c r="D584" s="3">
        <v>5</v>
      </c>
      <c r="E584" s="4" t="s">
        <v>809</v>
      </c>
      <c r="F584" s="5">
        <v>10</v>
      </c>
      <c r="G584" s="3">
        <v>0.5</v>
      </c>
      <c r="I584" s="7"/>
      <c r="J584" s="8"/>
      <c r="K584" s="9"/>
    </row>
    <row r="585" spans="1:11" x14ac:dyDescent="0.25">
      <c r="A585" t="str">
        <f>"00703858023"</f>
        <v>00703858023</v>
      </c>
      <c r="B585" t="s">
        <v>810</v>
      </c>
      <c r="C585" t="s">
        <v>811</v>
      </c>
      <c r="D585">
        <v>10</v>
      </c>
      <c r="E585" s="10" t="s">
        <v>812</v>
      </c>
      <c r="F585" s="11">
        <v>100</v>
      </c>
      <c r="G585">
        <v>1</v>
      </c>
      <c r="I585" s="12"/>
      <c r="J585" s="8"/>
      <c r="K585" s="13"/>
    </row>
    <row r="586" spans="1:11" x14ac:dyDescent="0.25">
      <c r="A586" s="3" t="str">
        <f>"00703861023"</f>
        <v>00703861023</v>
      </c>
      <c r="B586" s="3" t="s">
        <v>810</v>
      </c>
      <c r="C586" s="3" t="s">
        <v>813</v>
      </c>
      <c r="D586" s="3">
        <v>10</v>
      </c>
      <c r="E586" s="4" t="s">
        <v>814</v>
      </c>
      <c r="F586" s="5">
        <v>120</v>
      </c>
      <c r="G586" s="3">
        <v>0.8</v>
      </c>
      <c r="I586" s="7"/>
      <c r="J586" s="8"/>
      <c r="K586" s="9"/>
    </row>
    <row r="587" spans="1:11" x14ac:dyDescent="0.25">
      <c r="A587" t="str">
        <f>"00703851023"</f>
        <v>00703851023</v>
      </c>
      <c r="B587" t="s">
        <v>810</v>
      </c>
      <c r="C587" t="s">
        <v>815</v>
      </c>
      <c r="D587">
        <v>10</v>
      </c>
      <c r="E587" s="10" t="s">
        <v>812</v>
      </c>
      <c r="F587" s="11">
        <v>150</v>
      </c>
      <c r="G587">
        <v>1</v>
      </c>
      <c r="I587" s="12"/>
      <c r="J587" s="8"/>
      <c r="K587" s="13"/>
    </row>
    <row r="588" spans="1:11" x14ac:dyDescent="0.25">
      <c r="A588" s="3" t="str">
        <f>"63323056883"</f>
        <v>63323056883</v>
      </c>
      <c r="B588" s="3" t="s">
        <v>810</v>
      </c>
      <c r="C588" s="3" t="s">
        <v>816</v>
      </c>
      <c r="D588" s="3">
        <v>10</v>
      </c>
      <c r="E588" s="4" t="s">
        <v>817</v>
      </c>
      <c r="F588" s="5" t="s">
        <v>818</v>
      </c>
      <c r="G588" s="3">
        <v>0.3</v>
      </c>
      <c r="I588" s="7"/>
      <c r="J588" s="8"/>
      <c r="K588" s="9"/>
    </row>
    <row r="589" spans="1:11" x14ac:dyDescent="0.25">
      <c r="A589" t="str">
        <f>"00703854023"</f>
        <v>00703854023</v>
      </c>
      <c r="B589" t="s">
        <v>810</v>
      </c>
      <c r="C589" t="s">
        <v>819</v>
      </c>
      <c r="D589">
        <v>10</v>
      </c>
      <c r="E589" s="10" t="s">
        <v>820</v>
      </c>
      <c r="F589" s="11" t="s">
        <v>821</v>
      </c>
      <c r="G589">
        <v>0.4</v>
      </c>
      <c r="I589" s="12"/>
      <c r="J589" s="8"/>
      <c r="K589" s="13"/>
    </row>
    <row r="590" spans="1:11" x14ac:dyDescent="0.25">
      <c r="A590" s="3" t="str">
        <f>"00703868023"</f>
        <v>00703868023</v>
      </c>
      <c r="B590" s="3" t="s">
        <v>810</v>
      </c>
      <c r="C590" s="3" t="s">
        <v>822</v>
      </c>
      <c r="D590" s="3">
        <v>10</v>
      </c>
      <c r="E590" s="4" t="s">
        <v>814</v>
      </c>
      <c r="F590" s="5" t="s">
        <v>793</v>
      </c>
      <c r="G590" s="3">
        <v>0.8</v>
      </c>
      <c r="I590" s="7"/>
      <c r="J590" s="8"/>
      <c r="K590" s="9"/>
    </row>
    <row r="591" spans="1:11" x14ac:dyDescent="0.25">
      <c r="A591" t="str">
        <f>"00781350069"</f>
        <v>00781350069</v>
      </c>
      <c r="B591" t="s">
        <v>810</v>
      </c>
      <c r="C591" t="s">
        <v>823</v>
      </c>
      <c r="D591">
        <v>10</v>
      </c>
      <c r="E591" s="10" t="s">
        <v>11</v>
      </c>
      <c r="F591" s="11">
        <v>100</v>
      </c>
      <c r="G591">
        <v>1</v>
      </c>
      <c r="I591" s="12"/>
      <c r="J591" s="8"/>
      <c r="K591" s="13"/>
    </row>
    <row r="592" spans="1:11" x14ac:dyDescent="0.25">
      <c r="A592" s="3" t="str">
        <f>"00781361268"</f>
        <v>00781361268</v>
      </c>
      <c r="B592" s="3" t="s">
        <v>810</v>
      </c>
      <c r="C592" s="3" t="s">
        <v>824</v>
      </c>
      <c r="D592" s="3">
        <v>10</v>
      </c>
      <c r="E592" s="4" t="s">
        <v>11</v>
      </c>
      <c r="F592" s="5">
        <v>120</v>
      </c>
      <c r="G592" s="3">
        <v>0.8</v>
      </c>
      <c r="I592" s="7"/>
      <c r="J592" s="8"/>
      <c r="K592" s="9"/>
    </row>
    <row r="593" spans="1:11" x14ac:dyDescent="0.25">
      <c r="A593" t="str">
        <f>"00781365569"</f>
        <v>00781365569</v>
      </c>
      <c r="B593" t="s">
        <v>810</v>
      </c>
      <c r="C593" t="s">
        <v>825</v>
      </c>
      <c r="D593">
        <v>10</v>
      </c>
      <c r="E593" s="10" t="s">
        <v>11</v>
      </c>
      <c r="F593" s="11">
        <v>150</v>
      </c>
      <c r="G593">
        <v>1</v>
      </c>
      <c r="I593" s="12"/>
      <c r="J593" s="8"/>
      <c r="K593" s="13"/>
    </row>
    <row r="594" spans="1:11" x14ac:dyDescent="0.25">
      <c r="A594" s="3" t="str">
        <f>"00781322464"</f>
        <v>00781322464</v>
      </c>
      <c r="B594" s="3" t="s">
        <v>810</v>
      </c>
      <c r="C594" s="3" t="s">
        <v>826</v>
      </c>
      <c r="D594" s="3">
        <v>10</v>
      </c>
      <c r="E594" s="4" t="s">
        <v>11</v>
      </c>
      <c r="F594" s="5">
        <v>40</v>
      </c>
      <c r="G594" s="3">
        <v>0.4</v>
      </c>
      <c r="I594" s="7"/>
      <c r="J594" s="8"/>
      <c r="K594" s="9"/>
    </row>
    <row r="595" spans="1:11" x14ac:dyDescent="0.25">
      <c r="A595" t="str">
        <f>"00781342868"</f>
        <v>00781342868</v>
      </c>
      <c r="B595" t="s">
        <v>810</v>
      </c>
      <c r="C595" t="s">
        <v>827</v>
      </c>
      <c r="D595">
        <v>10</v>
      </c>
      <c r="E595" s="10" t="s">
        <v>11</v>
      </c>
      <c r="F595" s="11">
        <v>80</v>
      </c>
      <c r="G595">
        <v>0.8</v>
      </c>
      <c r="I595" s="12"/>
      <c r="J595" s="8"/>
      <c r="K595" s="13"/>
    </row>
    <row r="596" spans="1:11" x14ac:dyDescent="0.25">
      <c r="A596" s="3" t="str">
        <f>"00093578656"</f>
        <v>00093578656</v>
      </c>
      <c r="B596" s="3" t="s">
        <v>278</v>
      </c>
      <c r="C596" s="3" t="s">
        <v>828</v>
      </c>
      <c r="D596" s="3">
        <v>30</v>
      </c>
      <c r="E596" s="4" t="s">
        <v>11</v>
      </c>
      <c r="F596" s="5">
        <v>0.5</v>
      </c>
      <c r="G596" s="3">
        <v>30</v>
      </c>
      <c r="I596" s="7"/>
      <c r="J596" s="8"/>
      <c r="K596" s="9"/>
    </row>
    <row r="597" spans="1:11" x14ac:dyDescent="0.25">
      <c r="A597" t="str">
        <f>"00078065920"</f>
        <v>00078065920</v>
      </c>
      <c r="B597" t="s">
        <v>829</v>
      </c>
      <c r="C597" t="s">
        <v>830</v>
      </c>
      <c r="D597">
        <v>60</v>
      </c>
      <c r="E597" s="10" t="s">
        <v>831</v>
      </c>
      <c r="F597" s="11" t="s">
        <v>832</v>
      </c>
      <c r="G597">
        <v>60</v>
      </c>
      <c r="I597" s="12"/>
      <c r="J597" s="8"/>
      <c r="K597" s="13"/>
    </row>
    <row r="598" spans="1:11" x14ac:dyDescent="0.25">
      <c r="A598" s="3" t="str">
        <f>"00078077720"</f>
        <v>00078077720</v>
      </c>
      <c r="B598" s="3" t="s">
        <v>829</v>
      </c>
      <c r="C598" s="3" t="s">
        <v>833</v>
      </c>
      <c r="D598" s="3">
        <v>60</v>
      </c>
      <c r="E598" s="4" t="s">
        <v>834</v>
      </c>
      <c r="F598" s="5" t="s">
        <v>835</v>
      </c>
      <c r="G598" s="3">
        <v>60</v>
      </c>
      <c r="I598" s="7"/>
      <c r="J598" s="8"/>
      <c r="K598" s="9"/>
    </row>
    <row r="599" spans="1:11" x14ac:dyDescent="0.25">
      <c r="A599" t="str">
        <f>"61958220101"</f>
        <v>61958220101</v>
      </c>
      <c r="B599" t="s">
        <v>836</v>
      </c>
      <c r="C599" t="s">
        <v>837</v>
      </c>
      <c r="D599">
        <v>28</v>
      </c>
      <c r="E599" s="10" t="s">
        <v>838</v>
      </c>
      <c r="F599" s="11" t="s">
        <v>839</v>
      </c>
      <c r="G599">
        <v>28</v>
      </c>
      <c r="I599" s="12"/>
      <c r="J599" s="8"/>
      <c r="K599" s="13"/>
    </row>
    <row r="600" spans="1:11" x14ac:dyDescent="0.25">
      <c r="A600" s="3" t="str">
        <f>"49502010202"</f>
        <v>49502010202</v>
      </c>
      <c r="B600" s="3" t="s">
        <v>840</v>
      </c>
      <c r="C600" s="3" t="s">
        <v>841</v>
      </c>
      <c r="D600" s="3">
        <v>2</v>
      </c>
      <c r="E600" s="4" t="s">
        <v>11</v>
      </c>
      <c r="F600" s="5">
        <v>0.3</v>
      </c>
      <c r="G600" s="3">
        <v>2</v>
      </c>
      <c r="I600" s="7"/>
      <c r="J600" s="8"/>
      <c r="K600" s="9"/>
    </row>
    <row r="601" spans="1:11" x14ac:dyDescent="0.25">
      <c r="A601" t="str">
        <f>"00409724101"</f>
        <v>00409724101</v>
      </c>
      <c r="B601" t="s">
        <v>840</v>
      </c>
      <c r="C601" t="s">
        <v>842</v>
      </c>
      <c r="D601">
        <v>25</v>
      </c>
      <c r="E601" s="10" t="s">
        <v>20</v>
      </c>
      <c r="F601" s="11">
        <v>1</v>
      </c>
      <c r="G601">
        <v>1</v>
      </c>
      <c r="I601" s="12"/>
      <c r="J601" s="8"/>
      <c r="K601" s="13"/>
    </row>
    <row r="602" spans="1:11" x14ac:dyDescent="0.25">
      <c r="A602" s="3" t="str">
        <f>"49502050002"</f>
        <v>49502050002</v>
      </c>
      <c r="B602" s="3" t="s">
        <v>840</v>
      </c>
      <c r="C602" s="3" t="s">
        <v>843</v>
      </c>
      <c r="D602" s="3">
        <v>2</v>
      </c>
      <c r="E602" s="4" t="s">
        <v>11</v>
      </c>
      <c r="F602" s="5">
        <v>0.3</v>
      </c>
      <c r="G602" s="3">
        <v>2</v>
      </c>
      <c r="I602" s="7"/>
      <c r="J602" s="8"/>
      <c r="K602" s="9"/>
    </row>
    <row r="603" spans="1:11" x14ac:dyDescent="0.25">
      <c r="A603" t="str">
        <f>"49702020548"</f>
        <v>49702020548</v>
      </c>
      <c r="B603" t="s">
        <v>844</v>
      </c>
      <c r="C603" t="s">
        <v>845</v>
      </c>
      <c r="D603">
        <v>240</v>
      </c>
      <c r="E603" s="10" t="s">
        <v>20</v>
      </c>
      <c r="F603" s="11">
        <v>10</v>
      </c>
      <c r="G603">
        <v>240</v>
      </c>
      <c r="I603" s="12"/>
      <c r="J603" s="8"/>
      <c r="K603" s="13"/>
    </row>
    <row r="604" spans="1:11" x14ac:dyDescent="0.25">
      <c r="A604" s="3" t="str">
        <f>"00832048030"</f>
        <v>00832048030</v>
      </c>
      <c r="B604" s="3" t="s">
        <v>846</v>
      </c>
      <c r="C604" s="3" t="s">
        <v>847</v>
      </c>
      <c r="D604" s="3">
        <v>30</v>
      </c>
      <c r="E604" s="4" t="s">
        <v>11</v>
      </c>
      <c r="F604" s="5">
        <v>25</v>
      </c>
      <c r="G604" s="3">
        <v>30</v>
      </c>
      <c r="I604" s="7"/>
      <c r="J604" s="8"/>
      <c r="K604" s="9"/>
    </row>
    <row r="605" spans="1:11" x14ac:dyDescent="0.25">
      <c r="A605" t="str">
        <f>"00832048090"</f>
        <v>00832048090</v>
      </c>
      <c r="B605" t="s">
        <v>846</v>
      </c>
      <c r="C605" t="s">
        <v>848</v>
      </c>
      <c r="D605">
        <v>90</v>
      </c>
      <c r="E605" s="10" t="s">
        <v>11</v>
      </c>
      <c r="F605" s="11">
        <v>25</v>
      </c>
      <c r="G605">
        <v>90</v>
      </c>
      <c r="I605" s="12"/>
      <c r="J605" s="8"/>
      <c r="K605" s="13"/>
    </row>
    <row r="606" spans="1:11" x14ac:dyDescent="0.25">
      <c r="A606" s="3" t="str">
        <f>"00832048190"</f>
        <v>00832048190</v>
      </c>
      <c r="B606" s="3" t="s">
        <v>846</v>
      </c>
      <c r="C606" s="3" t="s">
        <v>849</v>
      </c>
      <c r="D606" s="3">
        <v>90</v>
      </c>
      <c r="E606" s="4" t="s">
        <v>11</v>
      </c>
      <c r="F606" s="5">
        <v>50</v>
      </c>
      <c r="G606" s="3">
        <v>90</v>
      </c>
      <c r="I606" s="7"/>
      <c r="J606" s="8"/>
      <c r="K606" s="9"/>
    </row>
    <row r="607" spans="1:11" x14ac:dyDescent="0.25">
      <c r="A607" t="str">
        <f>"49702020613"</f>
        <v>49702020613</v>
      </c>
      <c r="B607" t="s">
        <v>12</v>
      </c>
      <c r="C607" t="s">
        <v>850</v>
      </c>
      <c r="D607">
        <v>30</v>
      </c>
      <c r="E607" s="10" t="s">
        <v>851</v>
      </c>
      <c r="F607" s="11" t="s">
        <v>852</v>
      </c>
      <c r="G607">
        <v>30</v>
      </c>
      <c r="I607" s="12"/>
      <c r="J607" s="8"/>
      <c r="K607" s="13"/>
    </row>
    <row r="608" spans="1:11" x14ac:dyDescent="0.25">
      <c r="A608" s="3" t="str">
        <f>"24338012613"</f>
        <v>24338012613</v>
      </c>
      <c r="B608" s="3" t="s">
        <v>853</v>
      </c>
      <c r="C608" s="3" t="s">
        <v>854</v>
      </c>
      <c r="D608" s="3">
        <v>100</v>
      </c>
      <c r="E608" s="4" t="s">
        <v>11</v>
      </c>
      <c r="F608" s="5">
        <v>500</v>
      </c>
      <c r="G608" s="3">
        <v>100</v>
      </c>
      <c r="I608" s="7"/>
      <c r="J608" s="8"/>
      <c r="K608" s="9"/>
    </row>
    <row r="609" spans="1:11" x14ac:dyDescent="0.25">
      <c r="A609" t="str">
        <f>"17478007035"</f>
        <v>17478007035</v>
      </c>
      <c r="B609" t="s">
        <v>853</v>
      </c>
      <c r="C609" t="s">
        <v>855</v>
      </c>
      <c r="D609">
        <v>3.5</v>
      </c>
      <c r="E609" s="10" t="s">
        <v>43</v>
      </c>
      <c r="F609" s="11">
        <v>0.5</v>
      </c>
      <c r="G609">
        <v>3.5</v>
      </c>
      <c r="I609" s="12"/>
      <c r="J609" s="8"/>
      <c r="K609" s="13"/>
    </row>
    <row r="610" spans="1:11" x14ac:dyDescent="0.25">
      <c r="A610" s="3" t="str">
        <f>"00574402435"</f>
        <v>00574402435</v>
      </c>
      <c r="B610" s="3" t="s">
        <v>853</v>
      </c>
      <c r="C610" s="3" t="s">
        <v>855</v>
      </c>
      <c r="D610" s="3">
        <v>3.5</v>
      </c>
      <c r="E610" s="4" t="s">
        <v>43</v>
      </c>
      <c r="F610" s="5">
        <v>0.5</v>
      </c>
      <c r="G610" s="3">
        <v>3.5</v>
      </c>
      <c r="I610" s="7"/>
      <c r="J610" s="8"/>
      <c r="K610" s="9"/>
    </row>
    <row r="611" spans="1:11" x14ac:dyDescent="0.25">
      <c r="A611" t="str">
        <f>"24208091055"</f>
        <v>24208091055</v>
      </c>
      <c r="B611" t="s">
        <v>853</v>
      </c>
      <c r="C611" t="s">
        <v>855</v>
      </c>
      <c r="D611">
        <v>3.5</v>
      </c>
      <c r="E611" s="10" t="s">
        <v>43</v>
      </c>
      <c r="F611" s="11">
        <v>0.5</v>
      </c>
      <c r="G611">
        <v>3.5</v>
      </c>
      <c r="I611" s="12"/>
      <c r="J611" s="8"/>
      <c r="K611" s="13"/>
    </row>
    <row r="612" spans="1:11" x14ac:dyDescent="0.25">
      <c r="A612" s="3" t="str">
        <f>"00168021630"</f>
        <v>00168021630</v>
      </c>
      <c r="B612" s="3" t="s">
        <v>856</v>
      </c>
      <c r="C612" s="3" t="s">
        <v>857</v>
      </c>
      <c r="D612" s="3">
        <v>30</v>
      </c>
      <c r="E612" s="4" t="s">
        <v>858</v>
      </c>
      <c r="F612" s="5">
        <v>2</v>
      </c>
      <c r="G612" s="3">
        <v>30</v>
      </c>
      <c r="I612" s="7"/>
      <c r="J612" s="8"/>
      <c r="K612" s="9"/>
    </row>
    <row r="613" spans="1:11" x14ac:dyDescent="0.25">
      <c r="A613" t="str">
        <f>"45802096694"</f>
        <v>45802096694</v>
      </c>
      <c r="B613" t="s">
        <v>856</v>
      </c>
      <c r="C613" t="s">
        <v>859</v>
      </c>
      <c r="D613">
        <v>30</v>
      </c>
      <c r="E613" s="10" t="s">
        <v>43</v>
      </c>
      <c r="F613" s="11">
        <v>2</v>
      </c>
      <c r="G613">
        <v>30</v>
      </c>
      <c r="I613" s="12"/>
      <c r="J613" s="8"/>
      <c r="K613" s="13"/>
    </row>
    <row r="614" spans="1:11" x14ac:dyDescent="0.25">
      <c r="A614" s="3" t="str">
        <f>"60432067160"</f>
        <v>60432067160</v>
      </c>
      <c r="B614" s="3" t="s">
        <v>856</v>
      </c>
      <c r="C614" s="3" t="s">
        <v>860</v>
      </c>
      <c r="D614" s="3">
        <v>2</v>
      </c>
      <c r="E614" s="4" t="s">
        <v>43</v>
      </c>
      <c r="F614" s="5">
        <v>2</v>
      </c>
      <c r="G614" s="3">
        <v>60</v>
      </c>
      <c r="I614" s="7"/>
      <c r="J614" s="8"/>
      <c r="K614" s="9"/>
    </row>
    <row r="615" spans="1:11" x14ac:dyDescent="0.25">
      <c r="A615" t="str">
        <f>"00378385777"</f>
        <v>00378385777</v>
      </c>
      <c r="B615" t="s">
        <v>861</v>
      </c>
      <c r="C615" t="s">
        <v>862</v>
      </c>
      <c r="D615">
        <v>90</v>
      </c>
      <c r="E615" s="10" t="s">
        <v>11</v>
      </c>
      <c r="F615" s="11">
        <v>20</v>
      </c>
      <c r="G615">
        <v>90</v>
      </c>
      <c r="I615" s="12"/>
      <c r="J615" s="8"/>
      <c r="K615" s="13"/>
    </row>
    <row r="616" spans="1:11" x14ac:dyDescent="0.25">
      <c r="A616" s="3" t="str">
        <f>"59746027901"</f>
        <v>59746027901</v>
      </c>
      <c r="B616" s="3" t="s">
        <v>861</v>
      </c>
      <c r="C616" s="3" t="s">
        <v>863</v>
      </c>
      <c r="D616" s="3">
        <v>100</v>
      </c>
      <c r="E616" s="4" t="s">
        <v>11</v>
      </c>
      <c r="F616" s="5">
        <v>5</v>
      </c>
      <c r="G616" s="3">
        <v>100</v>
      </c>
      <c r="I616" s="7"/>
      <c r="J616" s="8"/>
      <c r="K616" s="9"/>
    </row>
    <row r="617" spans="1:11" x14ac:dyDescent="0.25">
      <c r="A617" t="str">
        <f>"43598051030"</f>
        <v>43598051030</v>
      </c>
      <c r="B617" t="s">
        <v>864</v>
      </c>
      <c r="C617" t="s">
        <v>865</v>
      </c>
      <c r="D617">
        <v>30</v>
      </c>
      <c r="E617" s="10" t="s">
        <v>648</v>
      </c>
      <c r="F617" s="11">
        <v>40</v>
      </c>
      <c r="G617">
        <v>30</v>
      </c>
      <c r="I617" s="12"/>
      <c r="J617" s="8"/>
      <c r="K617" s="13"/>
    </row>
    <row r="618" spans="1:11" x14ac:dyDescent="0.25">
      <c r="A618" s="3" t="str">
        <f>"43598050990"</f>
        <v>43598050990</v>
      </c>
      <c r="B618" s="3" t="s">
        <v>864</v>
      </c>
      <c r="C618" s="3" t="s">
        <v>866</v>
      </c>
      <c r="D618" s="3">
        <v>90</v>
      </c>
      <c r="E618" s="4" t="s">
        <v>648</v>
      </c>
      <c r="F618" s="5">
        <v>20</v>
      </c>
      <c r="G618" s="3">
        <v>90</v>
      </c>
      <c r="I618" s="7"/>
      <c r="J618" s="8"/>
      <c r="K618" s="9"/>
    </row>
    <row r="619" spans="1:11" x14ac:dyDescent="0.25">
      <c r="A619" t="str">
        <f>"99207029002"</f>
        <v>99207029002</v>
      </c>
      <c r="B619" t="s">
        <v>867</v>
      </c>
      <c r="C619" t="s">
        <v>868</v>
      </c>
      <c r="D619">
        <v>2.5</v>
      </c>
      <c r="E619" s="10" t="s">
        <v>869</v>
      </c>
      <c r="F619" s="11" t="s">
        <v>870</v>
      </c>
      <c r="G619">
        <v>70</v>
      </c>
      <c r="I619" s="12"/>
      <c r="J619" s="8"/>
      <c r="K619" s="13"/>
    </row>
    <row r="620" spans="1:11" x14ac:dyDescent="0.25">
      <c r="A620" s="3" t="str">
        <f>"51862033301"</f>
        <v>51862033301</v>
      </c>
      <c r="B620" s="3" t="s">
        <v>871</v>
      </c>
      <c r="C620" s="3" t="s">
        <v>872</v>
      </c>
      <c r="D620" s="3">
        <v>100</v>
      </c>
      <c r="E620" s="4" t="s">
        <v>11</v>
      </c>
      <c r="F620" s="5">
        <v>1</v>
      </c>
      <c r="G620" s="3">
        <v>100</v>
      </c>
      <c r="I620" s="7"/>
      <c r="J620" s="8"/>
      <c r="K620" s="9"/>
    </row>
    <row r="621" spans="1:11" x14ac:dyDescent="0.25">
      <c r="A621" t="str">
        <f>"51862033401"</f>
        <v>51862033401</v>
      </c>
      <c r="B621" t="s">
        <v>871</v>
      </c>
      <c r="C621" t="s">
        <v>873</v>
      </c>
      <c r="D621">
        <v>100</v>
      </c>
      <c r="E621" s="10" t="s">
        <v>11</v>
      </c>
      <c r="F621" s="11">
        <v>2</v>
      </c>
      <c r="G621">
        <v>100</v>
      </c>
      <c r="I621" s="12"/>
      <c r="J621" s="8"/>
      <c r="K621" s="13"/>
    </row>
    <row r="622" spans="1:11" x14ac:dyDescent="0.25">
      <c r="A622" s="3" t="str">
        <f>"00574087205"</f>
        <v>00574087205</v>
      </c>
      <c r="B622" s="3" t="s">
        <v>874</v>
      </c>
      <c r="C622" s="3" t="s">
        <v>875</v>
      </c>
      <c r="D622" s="3">
        <v>5</v>
      </c>
      <c r="E622" s="4" t="s">
        <v>20</v>
      </c>
      <c r="F622" s="5">
        <v>40</v>
      </c>
      <c r="G622" s="3">
        <v>5</v>
      </c>
      <c r="I622" s="7"/>
      <c r="J622" s="8"/>
      <c r="K622" s="9"/>
    </row>
    <row r="623" spans="1:11" x14ac:dyDescent="0.25">
      <c r="A623" t="str">
        <f>"68180028101"</f>
        <v>68180028101</v>
      </c>
      <c r="B623" t="s">
        <v>876</v>
      </c>
      <c r="C623" t="s">
        <v>877</v>
      </c>
      <c r="D623">
        <v>100</v>
      </c>
      <c r="E623" s="10" t="s">
        <v>11</v>
      </c>
      <c r="F623" s="11">
        <v>400</v>
      </c>
      <c r="G623">
        <v>100</v>
      </c>
      <c r="I623" s="12"/>
      <c r="J623" s="8"/>
      <c r="K623" s="13"/>
    </row>
    <row r="624" spans="1:11" x14ac:dyDescent="0.25">
      <c r="A624" s="3" t="str">
        <f>"72140003868"</f>
        <v>72140003868</v>
      </c>
      <c r="B624" s="3" t="s">
        <v>878</v>
      </c>
      <c r="C624" s="3" t="s">
        <v>879</v>
      </c>
      <c r="D624" s="3">
        <v>2</v>
      </c>
      <c r="E624" s="4"/>
      <c r="F624" s="5"/>
      <c r="G624" s="3">
        <v>57</v>
      </c>
      <c r="I624" s="7"/>
      <c r="J624" s="8"/>
      <c r="K624" s="9"/>
    </row>
    <row r="625" spans="1:11" x14ac:dyDescent="0.25">
      <c r="C625" t="s">
        <v>880</v>
      </c>
      <c r="G625">
        <v>0</v>
      </c>
      <c r="I625" s="12"/>
      <c r="J625" s="8"/>
      <c r="K625" s="13"/>
    </row>
    <row r="626" spans="1:11" x14ac:dyDescent="0.25">
      <c r="A626" s="3" t="str">
        <f>"72140011019"</f>
        <v>72140011019</v>
      </c>
      <c r="B626" s="3" t="s">
        <v>881</v>
      </c>
      <c r="C626" s="3" t="s">
        <v>882</v>
      </c>
      <c r="D626" s="3">
        <v>8.4</v>
      </c>
      <c r="E626" s="4"/>
      <c r="F626" s="5"/>
      <c r="G626" s="3">
        <v>250</v>
      </c>
      <c r="I626" s="7"/>
      <c r="J626" s="8"/>
      <c r="K626" s="9"/>
    </row>
    <row r="627" spans="1:11" x14ac:dyDescent="0.25">
      <c r="A627" t="str">
        <f>"00003364111"</f>
        <v>00003364111</v>
      </c>
      <c r="B627" t="s">
        <v>883</v>
      </c>
      <c r="C627" t="s">
        <v>884</v>
      </c>
      <c r="D627">
        <v>30</v>
      </c>
      <c r="E627" s="10" t="s">
        <v>885</v>
      </c>
      <c r="F627" s="11" t="s">
        <v>886</v>
      </c>
      <c r="G627">
        <v>30</v>
      </c>
      <c r="I627" s="12"/>
      <c r="J627" s="8"/>
      <c r="K627" s="13"/>
    </row>
    <row r="628" spans="1:11" x14ac:dyDescent="0.25">
      <c r="A628" s="3" t="str">
        <f>"00078047015"</f>
        <v>00078047015</v>
      </c>
      <c r="B628" s="3" t="s">
        <v>887</v>
      </c>
      <c r="C628" s="3" t="s">
        <v>888</v>
      </c>
      <c r="D628" s="3">
        <v>30</v>
      </c>
      <c r="E628" s="4" t="s">
        <v>11</v>
      </c>
      <c r="F628" s="5">
        <v>500</v>
      </c>
      <c r="G628" s="3">
        <v>30</v>
      </c>
      <c r="I628" s="7"/>
      <c r="J628" s="8"/>
      <c r="K628" s="9"/>
    </row>
    <row r="629" spans="1:11" x14ac:dyDescent="0.25">
      <c r="A629" t="str">
        <f>"00536108397"</f>
        <v>00536108397</v>
      </c>
      <c r="B629" t="s">
        <v>280</v>
      </c>
      <c r="C629" t="s">
        <v>889</v>
      </c>
      <c r="D629">
        <v>118</v>
      </c>
      <c r="G629">
        <v>118</v>
      </c>
      <c r="I629" s="12"/>
      <c r="J629" s="8"/>
      <c r="K629" s="13"/>
    </row>
    <row r="630" spans="1:11" x14ac:dyDescent="0.25">
      <c r="A630" s="3" t="str">
        <f>"00904649120"</f>
        <v>00904649120</v>
      </c>
      <c r="B630" s="3" t="s">
        <v>280</v>
      </c>
      <c r="C630" s="3" t="s">
        <v>890</v>
      </c>
      <c r="D630" s="3">
        <v>118</v>
      </c>
      <c r="E630" s="4"/>
      <c r="F630" s="5"/>
      <c r="G630" s="3">
        <v>118</v>
      </c>
      <c r="I630" s="7"/>
      <c r="J630" s="8"/>
      <c r="K630" s="9"/>
    </row>
    <row r="631" spans="1:11" x14ac:dyDescent="0.25">
      <c r="A631" t="str">
        <f>"33342002407"</f>
        <v>33342002407</v>
      </c>
      <c r="B631" t="s">
        <v>891</v>
      </c>
      <c r="C631" t="s">
        <v>892</v>
      </c>
      <c r="D631">
        <v>30</v>
      </c>
      <c r="E631" s="10" t="s">
        <v>11</v>
      </c>
      <c r="F631" s="11">
        <v>125</v>
      </c>
      <c r="G631">
        <v>30</v>
      </c>
      <c r="I631" s="12"/>
      <c r="J631" s="8"/>
      <c r="K631" s="13"/>
    </row>
    <row r="632" spans="1:11" x14ac:dyDescent="0.25">
      <c r="A632" s="3" t="str">
        <f>"33342002607"</f>
        <v>33342002607</v>
      </c>
      <c r="B632" s="3" t="s">
        <v>891</v>
      </c>
      <c r="C632" s="3" t="s">
        <v>893</v>
      </c>
      <c r="D632" s="3">
        <v>30</v>
      </c>
      <c r="E632" s="4" t="s">
        <v>11</v>
      </c>
      <c r="F632" s="5">
        <v>500</v>
      </c>
      <c r="G632" s="3">
        <v>30</v>
      </c>
      <c r="I632" s="7"/>
      <c r="J632" s="8"/>
      <c r="K632" s="9"/>
    </row>
    <row r="633" spans="1:11" x14ac:dyDescent="0.25">
      <c r="A633" t="str">
        <f>"68001024000"</f>
        <v>68001024000</v>
      </c>
      <c r="B633" t="s">
        <v>894</v>
      </c>
      <c r="C633" t="s">
        <v>895</v>
      </c>
      <c r="D633">
        <v>100</v>
      </c>
      <c r="E633" s="10" t="s">
        <v>11</v>
      </c>
      <c r="F633" s="11">
        <v>20</v>
      </c>
      <c r="G633">
        <v>100</v>
      </c>
      <c r="I633" s="12"/>
      <c r="J633" s="8"/>
      <c r="K633" s="13"/>
    </row>
    <row r="634" spans="1:11" x14ac:dyDescent="0.25">
      <c r="A634" s="3" t="str">
        <f>"00378911998"</f>
        <v>00378911998</v>
      </c>
      <c r="B634" s="3" t="s">
        <v>896</v>
      </c>
      <c r="C634" s="3" t="s">
        <v>897</v>
      </c>
      <c r="D634" s="3">
        <v>5</v>
      </c>
      <c r="E634" s="4" t="s">
        <v>898</v>
      </c>
      <c r="F634" s="5">
        <v>12</v>
      </c>
      <c r="G634" s="3">
        <v>5</v>
      </c>
      <c r="I634" s="7"/>
      <c r="J634" s="8"/>
      <c r="K634" s="9"/>
    </row>
    <row r="635" spans="1:11" x14ac:dyDescent="0.25">
      <c r="A635" t="str">
        <f>"00406902576"</f>
        <v>00406902576</v>
      </c>
      <c r="B635" t="s">
        <v>896</v>
      </c>
      <c r="C635" t="s">
        <v>899</v>
      </c>
      <c r="D635">
        <v>5</v>
      </c>
      <c r="E635" s="10" t="s">
        <v>178</v>
      </c>
      <c r="F635" s="11">
        <v>25</v>
      </c>
      <c r="G635">
        <v>5</v>
      </c>
      <c r="I635" s="12"/>
      <c r="J635" s="8"/>
      <c r="K635" s="13"/>
    </row>
    <row r="636" spans="1:11" x14ac:dyDescent="0.25">
      <c r="A636" s="3" t="str">
        <f>"00406907576"</f>
        <v>00406907576</v>
      </c>
      <c r="B636" s="3" t="s">
        <v>896</v>
      </c>
      <c r="C636" s="3" t="s">
        <v>900</v>
      </c>
      <c r="D636" s="3">
        <v>5</v>
      </c>
      <c r="E636" s="4" t="s">
        <v>178</v>
      </c>
      <c r="F636" s="5">
        <v>75</v>
      </c>
      <c r="G636" s="3">
        <v>5</v>
      </c>
      <c r="I636" s="7"/>
      <c r="J636" s="8"/>
      <c r="K636" s="9"/>
    </row>
    <row r="637" spans="1:11" x14ac:dyDescent="0.25">
      <c r="A637" t="str">
        <f>"00406901276"</f>
        <v>00406901276</v>
      </c>
      <c r="B637" t="s">
        <v>896</v>
      </c>
      <c r="C637" t="s">
        <v>901</v>
      </c>
      <c r="D637">
        <v>5</v>
      </c>
      <c r="E637" s="10" t="s">
        <v>902</v>
      </c>
      <c r="F637" s="11">
        <v>12</v>
      </c>
      <c r="G637">
        <v>5</v>
      </c>
      <c r="I637" s="12"/>
      <c r="J637" s="8"/>
      <c r="K637" s="13"/>
    </row>
    <row r="638" spans="1:11" x14ac:dyDescent="0.25">
      <c r="A638" s="3" t="str">
        <f>"00574050810"</f>
        <v>00574050810</v>
      </c>
      <c r="B638" s="3" t="s">
        <v>903</v>
      </c>
      <c r="C638" s="3" t="s">
        <v>904</v>
      </c>
      <c r="D638" s="3">
        <v>1000</v>
      </c>
      <c r="E638" s="4" t="s">
        <v>11</v>
      </c>
      <c r="F638" s="5">
        <v>324</v>
      </c>
      <c r="G638" s="3">
        <v>1000</v>
      </c>
      <c r="I638" s="7"/>
      <c r="J638" s="8"/>
      <c r="K638" s="9"/>
    </row>
    <row r="639" spans="1:11" x14ac:dyDescent="0.25">
      <c r="A639" t="str">
        <f>"50383077816"</f>
        <v>50383077816</v>
      </c>
      <c r="B639" t="s">
        <v>905</v>
      </c>
      <c r="C639" t="s">
        <v>906</v>
      </c>
      <c r="D639">
        <v>16</v>
      </c>
      <c r="G639">
        <v>473</v>
      </c>
      <c r="I639" s="12"/>
      <c r="J639" s="8"/>
      <c r="K639" s="13"/>
    </row>
    <row r="640" spans="1:11" x14ac:dyDescent="0.25">
      <c r="A640" s="3" t="str">
        <f>"00245010801"</f>
        <v>00245010801</v>
      </c>
      <c r="B640" s="3" t="s">
        <v>905</v>
      </c>
      <c r="C640" s="3" t="s">
        <v>907</v>
      </c>
      <c r="D640" s="3">
        <v>100</v>
      </c>
      <c r="E640" s="4"/>
      <c r="F640" s="5"/>
      <c r="G640" s="3">
        <v>100</v>
      </c>
      <c r="I640" s="7"/>
      <c r="J640" s="8"/>
      <c r="K640" s="9"/>
    </row>
    <row r="641" spans="1:11" x14ac:dyDescent="0.25">
      <c r="A641" t="str">
        <f>"00904759080"</f>
        <v>00904759080</v>
      </c>
      <c r="B641" t="s">
        <v>905</v>
      </c>
      <c r="C641" t="s">
        <v>908</v>
      </c>
      <c r="D641">
        <v>1000</v>
      </c>
      <c r="G641">
        <v>1000</v>
      </c>
      <c r="I641" s="12"/>
      <c r="J641" s="8"/>
      <c r="K641" s="13"/>
    </row>
    <row r="642" spans="1:11" x14ac:dyDescent="0.25">
      <c r="A642" s="3" t="str">
        <f>"50419082502"</f>
        <v>50419082502</v>
      </c>
      <c r="B642" s="3" t="s">
        <v>909</v>
      </c>
      <c r="C642" s="3" t="s">
        <v>910</v>
      </c>
      <c r="D642" s="3">
        <v>50</v>
      </c>
      <c r="E642" s="4" t="s">
        <v>43</v>
      </c>
      <c r="F642" s="5">
        <v>15</v>
      </c>
      <c r="G642" s="3">
        <v>50</v>
      </c>
      <c r="I642" s="7"/>
      <c r="J642" s="8"/>
      <c r="K642" s="9"/>
    </row>
    <row r="643" spans="1:11" x14ac:dyDescent="0.25">
      <c r="A643" t="str">
        <f>"31722052530"</f>
        <v>31722052530</v>
      </c>
      <c r="B643" t="s">
        <v>911</v>
      </c>
      <c r="C643" t="s">
        <v>912</v>
      </c>
      <c r="D643">
        <v>30</v>
      </c>
      <c r="E643" s="10" t="s">
        <v>11</v>
      </c>
      <c r="F643" s="11">
        <v>5</v>
      </c>
      <c r="G643">
        <v>30</v>
      </c>
      <c r="I643" s="12"/>
      <c r="J643" s="8"/>
      <c r="K643" s="13"/>
    </row>
    <row r="644" spans="1:11" x14ac:dyDescent="0.25">
      <c r="A644" s="3" t="str">
        <f>"65862014930"</f>
        <v>65862014930</v>
      </c>
      <c r="B644" s="3" t="s">
        <v>911</v>
      </c>
      <c r="C644" s="3" t="s">
        <v>912</v>
      </c>
      <c r="D644" s="3">
        <v>30</v>
      </c>
      <c r="E644" s="4" t="s">
        <v>11</v>
      </c>
      <c r="F644" s="5">
        <v>5</v>
      </c>
      <c r="G644" s="3">
        <v>30</v>
      </c>
      <c r="I644" s="7"/>
      <c r="J644" s="8"/>
      <c r="K644" s="9"/>
    </row>
    <row r="645" spans="1:11" x14ac:dyDescent="0.25">
      <c r="A645" t="str">
        <f>"00093735556"</f>
        <v>00093735556</v>
      </c>
      <c r="B645" t="s">
        <v>911</v>
      </c>
      <c r="C645" t="s">
        <v>912</v>
      </c>
      <c r="D645">
        <v>30</v>
      </c>
      <c r="E645" s="10" t="s">
        <v>11</v>
      </c>
      <c r="F645" s="11">
        <v>5</v>
      </c>
      <c r="G645">
        <v>30</v>
      </c>
      <c r="I645" s="12"/>
      <c r="J645" s="8"/>
      <c r="K645" s="13"/>
    </row>
    <row r="646" spans="1:11" x14ac:dyDescent="0.25">
      <c r="A646" s="3" t="str">
        <f>"65628005001"</f>
        <v>65628005001</v>
      </c>
      <c r="B646" s="3" t="s">
        <v>913</v>
      </c>
      <c r="C646" s="3" t="s">
        <v>913</v>
      </c>
      <c r="D646" s="3">
        <v>8</v>
      </c>
      <c r="E646" s="4"/>
      <c r="F646" s="5" t="s">
        <v>914</v>
      </c>
      <c r="G646" s="3">
        <v>0</v>
      </c>
      <c r="I646" s="7"/>
      <c r="J646" s="8"/>
      <c r="K646" s="9"/>
    </row>
    <row r="647" spans="1:11" x14ac:dyDescent="0.25">
      <c r="A647" t="str">
        <f>"65628007010"</f>
        <v>65628007010</v>
      </c>
      <c r="B647" t="s">
        <v>915</v>
      </c>
      <c r="C647" t="s">
        <v>915</v>
      </c>
      <c r="D647">
        <v>10</v>
      </c>
      <c r="E647" s="10" t="s">
        <v>20</v>
      </c>
      <c r="F647" s="11">
        <v>2</v>
      </c>
      <c r="G647">
        <v>0</v>
      </c>
      <c r="I647" s="12"/>
      <c r="J647" s="8"/>
      <c r="K647" s="13"/>
    </row>
    <row r="648" spans="1:11" x14ac:dyDescent="0.25">
      <c r="A648" s="3" t="str">
        <f>"65628020010"</f>
        <v>65628020010</v>
      </c>
      <c r="B648" s="3" t="s">
        <v>916</v>
      </c>
      <c r="C648" s="3" t="s">
        <v>916</v>
      </c>
      <c r="D648" s="3">
        <v>10</v>
      </c>
      <c r="E648" s="4" t="s">
        <v>805</v>
      </c>
      <c r="F648" s="5" t="s">
        <v>917</v>
      </c>
      <c r="G648" s="3">
        <v>0</v>
      </c>
      <c r="I648" s="7"/>
      <c r="J648" s="8"/>
      <c r="K648" s="9"/>
    </row>
    <row r="649" spans="1:11" x14ac:dyDescent="0.25">
      <c r="A649" t="str">
        <f>"65628006301"</f>
        <v>65628006301</v>
      </c>
      <c r="B649" t="s">
        <v>918</v>
      </c>
      <c r="C649" t="s">
        <v>918</v>
      </c>
      <c r="D649">
        <v>30</v>
      </c>
      <c r="E649" s="10" t="s">
        <v>11</v>
      </c>
      <c r="F649" s="11">
        <v>200</v>
      </c>
      <c r="G649">
        <v>0</v>
      </c>
      <c r="I649" s="12"/>
      <c r="J649" s="8"/>
      <c r="K649" s="13"/>
    </row>
    <row r="650" spans="1:11" x14ac:dyDescent="0.25">
      <c r="A650" s="3" t="s">
        <v>919</v>
      </c>
      <c r="B650" s="3" t="s">
        <v>920</v>
      </c>
      <c r="C650" s="3" t="s">
        <v>921</v>
      </c>
      <c r="D650" s="3"/>
      <c r="E650" s="4"/>
      <c r="F650" s="5"/>
      <c r="G650" s="3"/>
      <c r="I650" s="7"/>
      <c r="J650" s="8"/>
      <c r="K650" s="9"/>
    </row>
    <row r="651" spans="1:11" x14ac:dyDescent="0.25">
      <c r="A651" t="str">
        <f>"00054001121"</f>
        <v>00054001121</v>
      </c>
      <c r="B651" t="s">
        <v>920</v>
      </c>
      <c r="C651" t="s">
        <v>922</v>
      </c>
      <c r="D651">
        <v>60</v>
      </c>
      <c r="E651" s="10" t="s">
        <v>11</v>
      </c>
      <c r="F651" s="11">
        <v>100</v>
      </c>
      <c r="G651">
        <v>60</v>
      </c>
      <c r="I651" s="12"/>
      <c r="J651" s="8"/>
      <c r="K651" s="13"/>
    </row>
    <row r="652" spans="1:11" x14ac:dyDescent="0.25">
      <c r="A652" s="3" t="str">
        <f>"00132030140"</f>
        <v>00132030140</v>
      </c>
      <c r="B652" s="3" t="s">
        <v>923</v>
      </c>
      <c r="C652" s="3" t="s">
        <v>924</v>
      </c>
      <c r="D652" s="3">
        <v>4.5</v>
      </c>
      <c r="E652" s="4"/>
      <c r="F652" s="5"/>
      <c r="G652" s="3">
        <v>133</v>
      </c>
      <c r="I652" s="7"/>
      <c r="J652" s="8"/>
      <c r="K652" s="9"/>
    </row>
    <row r="653" spans="1:11" x14ac:dyDescent="0.25">
      <c r="A653" t="str">
        <f>"00132020140"</f>
        <v>00132020140</v>
      </c>
      <c r="B653" t="s">
        <v>925</v>
      </c>
      <c r="C653" t="s">
        <v>926</v>
      </c>
      <c r="D653">
        <v>4.5</v>
      </c>
      <c r="G653">
        <v>133</v>
      </c>
      <c r="I653" s="12"/>
      <c r="J653" s="8"/>
      <c r="K653" s="13"/>
    </row>
    <row r="654" spans="1:11" x14ac:dyDescent="0.25">
      <c r="A654" s="3" t="str">
        <f>"00173072020"</f>
        <v>00173072020</v>
      </c>
      <c r="B654" s="3" t="s">
        <v>927</v>
      </c>
      <c r="C654" s="3" t="s">
        <v>928</v>
      </c>
      <c r="D654" s="3">
        <v>12</v>
      </c>
      <c r="E654" s="4" t="s">
        <v>178</v>
      </c>
      <c r="F654" s="5">
        <v>220</v>
      </c>
      <c r="G654" s="3">
        <v>12</v>
      </c>
      <c r="I654" s="7"/>
      <c r="J654" s="8"/>
      <c r="K654" s="9"/>
    </row>
    <row r="655" spans="1:11" x14ac:dyDescent="0.25">
      <c r="A655" t="str">
        <f>"00173071820"</f>
        <v>00173071820</v>
      </c>
      <c r="B655" t="s">
        <v>927</v>
      </c>
      <c r="C655" t="s">
        <v>929</v>
      </c>
      <c r="D655">
        <v>10.6</v>
      </c>
      <c r="E655" s="10" t="s">
        <v>178</v>
      </c>
      <c r="F655" s="11">
        <v>44</v>
      </c>
      <c r="G655">
        <v>10.6</v>
      </c>
      <c r="I655" s="12"/>
      <c r="J655" s="8"/>
      <c r="K655" s="13"/>
    </row>
    <row r="656" spans="1:11" x14ac:dyDescent="0.25">
      <c r="A656" s="3" t="str">
        <f>"54799050721"</f>
        <v>54799050721</v>
      </c>
      <c r="B656" s="3" t="s">
        <v>930</v>
      </c>
      <c r="C656" s="3" t="s">
        <v>931</v>
      </c>
      <c r="D656" s="3">
        <v>5</v>
      </c>
      <c r="E656" s="4"/>
      <c r="F656" s="5" t="s">
        <v>932</v>
      </c>
      <c r="G656" s="3">
        <v>5</v>
      </c>
      <c r="I656" s="7"/>
      <c r="J656" s="8"/>
      <c r="K656" s="9"/>
    </row>
    <row r="657" spans="1:11" x14ac:dyDescent="0.25">
      <c r="A657" t="str">
        <f>"00172541146"</f>
        <v>00172541146</v>
      </c>
      <c r="B657" t="s">
        <v>933</v>
      </c>
      <c r="C657" t="s">
        <v>934</v>
      </c>
      <c r="D657">
        <v>30</v>
      </c>
      <c r="E657" s="10" t="s">
        <v>11</v>
      </c>
      <c r="F657" s="11">
        <v>100</v>
      </c>
      <c r="G657">
        <v>30</v>
      </c>
      <c r="I657" s="12"/>
      <c r="J657" s="8"/>
      <c r="K657" s="13"/>
    </row>
    <row r="658" spans="1:11" x14ac:dyDescent="0.25">
      <c r="A658" s="3" t="str">
        <f>"68001025320"</f>
        <v>68001025320</v>
      </c>
      <c r="B658" s="3" t="s">
        <v>933</v>
      </c>
      <c r="C658" s="3" t="s">
        <v>935</v>
      </c>
      <c r="D658" s="3">
        <v>12</v>
      </c>
      <c r="E658" s="4" t="s">
        <v>936</v>
      </c>
      <c r="F658" s="5">
        <v>150</v>
      </c>
      <c r="G658" s="3">
        <v>1</v>
      </c>
      <c r="I658" s="7"/>
      <c r="J658" s="8"/>
      <c r="K658" s="9"/>
    </row>
    <row r="659" spans="1:11" x14ac:dyDescent="0.25">
      <c r="A659" t="str">
        <f>"00172541360"</f>
        <v>00172541360</v>
      </c>
      <c r="B659" t="s">
        <v>933</v>
      </c>
      <c r="C659" t="s">
        <v>937</v>
      </c>
      <c r="D659">
        <v>100</v>
      </c>
      <c r="E659" s="10" t="s">
        <v>11</v>
      </c>
      <c r="F659" s="11">
        <v>200</v>
      </c>
      <c r="G659">
        <v>100</v>
      </c>
      <c r="I659" s="12"/>
      <c r="J659" s="8"/>
      <c r="K659" s="13"/>
    </row>
    <row r="660" spans="1:11" x14ac:dyDescent="0.25">
      <c r="A660" s="3" t="str">
        <f>"36000000206"</f>
        <v>36000000206</v>
      </c>
      <c r="B660" s="3" t="s">
        <v>938</v>
      </c>
      <c r="C660" s="3" t="s">
        <v>939</v>
      </c>
      <c r="D660" s="3">
        <v>600</v>
      </c>
      <c r="E660" s="4" t="s">
        <v>11</v>
      </c>
      <c r="F660" s="5">
        <v>200</v>
      </c>
      <c r="G660" s="3">
        <v>100</v>
      </c>
      <c r="I660" s="7"/>
      <c r="J660" s="8"/>
      <c r="K660" s="9"/>
    </row>
    <row r="661" spans="1:11" x14ac:dyDescent="0.25">
      <c r="A661" t="str">
        <f>"00115703302"</f>
        <v>00115703302</v>
      </c>
      <c r="B661" t="s">
        <v>940</v>
      </c>
      <c r="C661" t="s">
        <v>941</v>
      </c>
      <c r="D661">
        <v>500</v>
      </c>
      <c r="E661" s="10" t="s">
        <v>11</v>
      </c>
      <c r="F661" s="11">
        <v>0.1</v>
      </c>
      <c r="G661">
        <v>500</v>
      </c>
      <c r="I661" s="12"/>
      <c r="J661" s="8"/>
      <c r="K661" s="13"/>
    </row>
    <row r="662" spans="1:11" x14ac:dyDescent="0.25">
      <c r="A662" s="3" t="str">
        <f>"68462050535"</f>
        <v>68462050535</v>
      </c>
      <c r="B662" s="3" t="s">
        <v>942</v>
      </c>
      <c r="C662" s="3" t="s">
        <v>943</v>
      </c>
      <c r="D662" s="3">
        <v>30</v>
      </c>
      <c r="E662" s="4" t="s">
        <v>43</v>
      </c>
      <c r="F662" s="5">
        <v>0.1</v>
      </c>
      <c r="G662" s="3">
        <v>30</v>
      </c>
      <c r="I662" s="7"/>
      <c r="J662" s="8"/>
      <c r="K662" s="9"/>
    </row>
    <row r="663" spans="1:11" x14ac:dyDescent="0.25">
      <c r="A663" t="str">
        <f>"66530024940"</f>
        <v>66530024940</v>
      </c>
      <c r="B663" t="s">
        <v>944</v>
      </c>
      <c r="C663" t="s">
        <v>945</v>
      </c>
      <c r="D663">
        <v>40</v>
      </c>
      <c r="E663" s="10" t="s">
        <v>43</v>
      </c>
      <c r="F663" s="11">
        <v>5</v>
      </c>
      <c r="G663">
        <v>40</v>
      </c>
      <c r="I663" s="12"/>
      <c r="J663" s="8"/>
      <c r="K663" s="13"/>
    </row>
    <row r="664" spans="1:11" x14ac:dyDescent="0.25">
      <c r="A664" s="3" t="str">
        <f>"51672411806"</f>
        <v>51672411806</v>
      </c>
      <c r="B664" s="3" t="s">
        <v>944</v>
      </c>
      <c r="C664" s="3" t="s">
        <v>945</v>
      </c>
      <c r="D664" s="3">
        <v>40</v>
      </c>
      <c r="E664" s="4" t="s">
        <v>43</v>
      </c>
      <c r="F664" s="5">
        <v>5</v>
      </c>
      <c r="G664" s="3">
        <v>40</v>
      </c>
      <c r="I664" s="7"/>
      <c r="J664" s="8"/>
      <c r="K664" s="9"/>
    </row>
    <row r="665" spans="1:11" x14ac:dyDescent="0.25">
      <c r="A665" t="str">
        <f>"00904578461"</f>
        <v>00904578461</v>
      </c>
      <c r="B665" t="s">
        <v>946</v>
      </c>
      <c r="C665" t="s">
        <v>947</v>
      </c>
      <c r="D665">
        <v>100</v>
      </c>
      <c r="E665" s="10" t="s">
        <v>11</v>
      </c>
      <c r="F665" s="11">
        <v>10</v>
      </c>
      <c r="G665">
        <v>100</v>
      </c>
      <c r="I665" s="12"/>
      <c r="J665" s="8"/>
      <c r="K665" s="13"/>
    </row>
    <row r="666" spans="1:11" x14ac:dyDescent="0.25">
      <c r="A666" s="3" t="str">
        <f>"50111064703"</f>
        <v>50111064703</v>
      </c>
      <c r="B666" s="3" t="s">
        <v>946</v>
      </c>
      <c r="C666" s="3" t="s">
        <v>948</v>
      </c>
      <c r="D666" s="3">
        <v>1000</v>
      </c>
      <c r="E666" s="4" t="s">
        <v>11</v>
      </c>
      <c r="F666" s="5">
        <v>10</v>
      </c>
      <c r="G666" s="3">
        <v>1000</v>
      </c>
      <c r="I666" s="7"/>
      <c r="J666" s="8"/>
      <c r="K666" s="9"/>
    </row>
    <row r="667" spans="1:11" x14ac:dyDescent="0.25">
      <c r="A667" t="str">
        <f>"68084060501"</f>
        <v>68084060501</v>
      </c>
      <c r="B667" t="s">
        <v>946</v>
      </c>
      <c r="C667" t="s">
        <v>949</v>
      </c>
      <c r="D667">
        <v>100</v>
      </c>
      <c r="E667" s="10" t="s">
        <v>11</v>
      </c>
      <c r="F667" s="11">
        <v>20</v>
      </c>
      <c r="G667">
        <v>100</v>
      </c>
      <c r="I667" s="12"/>
      <c r="J667" s="8"/>
      <c r="K667" s="13"/>
    </row>
    <row r="668" spans="1:11" x14ac:dyDescent="0.25">
      <c r="A668" s="3" t="str">
        <f>"50111064803"</f>
        <v>50111064803</v>
      </c>
      <c r="B668" s="3" t="s">
        <v>946</v>
      </c>
      <c r="C668" s="3" t="s">
        <v>950</v>
      </c>
      <c r="D668" s="3">
        <v>1000</v>
      </c>
      <c r="E668" s="4" t="s">
        <v>11</v>
      </c>
      <c r="F668" s="5">
        <v>20</v>
      </c>
      <c r="G668" s="3">
        <v>1000</v>
      </c>
      <c r="I668" s="7"/>
      <c r="J668" s="8"/>
      <c r="K668" s="9"/>
    </row>
    <row r="669" spans="1:11" x14ac:dyDescent="0.25">
      <c r="A669" t="str">
        <f>"50111064844"</f>
        <v>50111064844</v>
      </c>
      <c r="B669" t="s">
        <v>946</v>
      </c>
      <c r="C669" t="s">
        <v>951</v>
      </c>
      <c r="D669">
        <v>2000</v>
      </c>
      <c r="E669" s="10" t="s">
        <v>11</v>
      </c>
      <c r="F669" s="11">
        <v>20</v>
      </c>
      <c r="G669">
        <v>2000</v>
      </c>
      <c r="I669" s="12"/>
      <c r="J669" s="8"/>
      <c r="K669" s="13"/>
    </row>
    <row r="670" spans="1:11" x14ac:dyDescent="0.25">
      <c r="A670" s="3" t="str">
        <f>"54838052340"</f>
        <v>54838052340</v>
      </c>
      <c r="B670" s="3" t="s">
        <v>946</v>
      </c>
      <c r="C670" s="3" t="s">
        <v>952</v>
      </c>
      <c r="D670" s="3">
        <v>120</v>
      </c>
      <c r="E670" s="4" t="s">
        <v>438</v>
      </c>
      <c r="F670" s="5">
        <v>20</v>
      </c>
      <c r="G670" s="3">
        <v>120</v>
      </c>
      <c r="I670" s="7"/>
      <c r="J670" s="8"/>
      <c r="K670" s="9"/>
    </row>
    <row r="671" spans="1:11" x14ac:dyDescent="0.25">
      <c r="A671" t="str">
        <f>"42023012901"</f>
        <v>42023012901</v>
      </c>
      <c r="B671" t="s">
        <v>953</v>
      </c>
      <c r="C671" t="s">
        <v>954</v>
      </c>
      <c r="D671">
        <v>5</v>
      </c>
      <c r="E671" s="10" t="s">
        <v>955</v>
      </c>
      <c r="F671" s="11">
        <v>25</v>
      </c>
      <c r="G671">
        <v>5</v>
      </c>
      <c r="I671" s="12"/>
      <c r="J671" s="8"/>
      <c r="K671" s="13"/>
    </row>
    <row r="672" spans="1:11" x14ac:dyDescent="0.25">
      <c r="A672" s="3" t="str">
        <f>"63323027205"</f>
        <v>63323027205</v>
      </c>
      <c r="B672" s="3" t="s">
        <v>953</v>
      </c>
      <c r="C672" s="3" t="s">
        <v>956</v>
      </c>
      <c r="D672" s="3">
        <v>5</v>
      </c>
      <c r="E672" s="4" t="s">
        <v>20</v>
      </c>
      <c r="F672" s="5">
        <v>25</v>
      </c>
      <c r="G672" s="3">
        <v>5</v>
      </c>
      <c r="I672" s="7"/>
      <c r="J672" s="8"/>
      <c r="K672" s="9"/>
    </row>
    <row r="673" spans="1:11" x14ac:dyDescent="0.25">
      <c r="A673" t="str">
        <f>"00527179101"</f>
        <v>00527179101</v>
      </c>
      <c r="B673" t="s">
        <v>957</v>
      </c>
      <c r="C673" t="s">
        <v>958</v>
      </c>
      <c r="D673">
        <v>100</v>
      </c>
      <c r="E673" s="10" t="s">
        <v>11</v>
      </c>
      <c r="F673" s="11">
        <v>10</v>
      </c>
      <c r="G673">
        <v>100</v>
      </c>
      <c r="I673" s="12"/>
      <c r="J673" s="8"/>
      <c r="K673" s="13"/>
    </row>
    <row r="674" spans="1:11" x14ac:dyDescent="0.25">
      <c r="A674" s="3" t="str">
        <f>"00378609701"</f>
        <v>00378609701</v>
      </c>
      <c r="B674" s="3" t="s">
        <v>957</v>
      </c>
      <c r="C674" s="3" t="s">
        <v>958</v>
      </c>
      <c r="D674" s="3">
        <v>100</v>
      </c>
      <c r="E674" s="4" t="s">
        <v>11</v>
      </c>
      <c r="F674" s="5">
        <v>10</v>
      </c>
      <c r="G674" s="3">
        <v>100</v>
      </c>
      <c r="I674" s="7"/>
      <c r="J674" s="8"/>
      <c r="K674" s="9"/>
    </row>
    <row r="675" spans="1:11" x14ac:dyDescent="0.25">
      <c r="A675" t="str">
        <f>"51079048820"</f>
        <v>51079048820</v>
      </c>
      <c r="B675" t="s">
        <v>957</v>
      </c>
      <c r="C675" t="s">
        <v>959</v>
      </c>
      <c r="D675">
        <v>100</v>
      </c>
      <c r="E675" s="10" t="s">
        <v>11</v>
      </c>
      <c r="F675" s="11">
        <v>10</v>
      </c>
      <c r="G675">
        <v>100</v>
      </c>
      <c r="I675" s="12"/>
      <c r="J675" s="8"/>
      <c r="K675" s="13"/>
    </row>
    <row r="676" spans="1:11" x14ac:dyDescent="0.25">
      <c r="A676" s="3" t="str">
        <f>"00527179105"</f>
        <v>00527179105</v>
      </c>
      <c r="B676" s="3" t="s">
        <v>957</v>
      </c>
      <c r="C676" s="3" t="s">
        <v>960</v>
      </c>
      <c r="D676" s="3">
        <v>500</v>
      </c>
      <c r="E676" s="4" t="s">
        <v>11</v>
      </c>
      <c r="F676" s="5">
        <v>10</v>
      </c>
      <c r="G676" s="3">
        <v>500</v>
      </c>
      <c r="I676" s="7"/>
      <c r="J676" s="8"/>
      <c r="K676" s="9"/>
    </row>
    <row r="677" spans="1:11" x14ac:dyDescent="0.25">
      <c r="A677" t="str">
        <f>"68084095025"</f>
        <v>68084095025</v>
      </c>
      <c r="B677" t="s">
        <v>957</v>
      </c>
      <c r="C677" t="s">
        <v>962</v>
      </c>
      <c r="D677">
        <v>30</v>
      </c>
      <c r="E677" s="10" t="s">
        <v>11</v>
      </c>
      <c r="F677" s="11">
        <v>10</v>
      </c>
      <c r="G677">
        <v>30</v>
      </c>
      <c r="I677" s="12"/>
      <c r="J677" s="8"/>
      <c r="K677" s="13"/>
    </row>
    <row r="678" spans="1:11" x14ac:dyDescent="0.25">
      <c r="A678" s="3" t="str">
        <f>"51079048620"</f>
        <v>51079048620</v>
      </c>
      <c r="B678" s="3" t="s">
        <v>957</v>
      </c>
      <c r="C678" s="3" t="s">
        <v>961</v>
      </c>
      <c r="D678" s="3">
        <v>100</v>
      </c>
      <c r="E678" s="4" t="s">
        <v>11</v>
      </c>
      <c r="F678" s="5">
        <v>2.5</v>
      </c>
      <c r="G678" s="3">
        <v>100</v>
      </c>
      <c r="I678" s="7"/>
      <c r="J678" s="8"/>
      <c r="K678" s="9"/>
    </row>
    <row r="679" spans="1:11" x14ac:dyDescent="0.25">
      <c r="A679" t="str">
        <f>"63323028110"</f>
        <v>63323028110</v>
      </c>
      <c r="B679" t="s">
        <v>957</v>
      </c>
      <c r="C679" t="s">
        <v>963</v>
      </c>
      <c r="D679">
        <v>10</v>
      </c>
      <c r="E679" s="10" t="s">
        <v>20</v>
      </c>
      <c r="F679" s="11">
        <v>2.5</v>
      </c>
      <c r="G679">
        <v>10</v>
      </c>
      <c r="I679" s="12"/>
      <c r="J679" s="8"/>
      <c r="K679" s="13"/>
    </row>
    <row r="680" spans="1:11" x14ac:dyDescent="0.25">
      <c r="A680" s="3" t="str">
        <f>"00527179001"</f>
        <v>00527179001</v>
      </c>
      <c r="B680" s="3" t="s">
        <v>957</v>
      </c>
      <c r="C680" s="3" t="s">
        <v>964</v>
      </c>
      <c r="D680" s="3">
        <v>100</v>
      </c>
      <c r="E680" s="4" t="s">
        <v>11</v>
      </c>
      <c r="F680" s="5">
        <v>5</v>
      </c>
      <c r="G680" s="3">
        <v>100</v>
      </c>
      <c r="I680" s="7"/>
      <c r="J680" s="8"/>
      <c r="K680" s="9"/>
    </row>
    <row r="681" spans="1:11" x14ac:dyDescent="0.25">
      <c r="A681" t="str">
        <f>"00378607401"</f>
        <v>00378607401</v>
      </c>
      <c r="B681" t="s">
        <v>957</v>
      </c>
      <c r="C681" t="s">
        <v>964</v>
      </c>
      <c r="D681">
        <v>100</v>
      </c>
      <c r="E681" s="10" t="s">
        <v>11</v>
      </c>
      <c r="F681" s="11">
        <v>5</v>
      </c>
      <c r="G681">
        <v>100</v>
      </c>
      <c r="I681" s="12"/>
      <c r="J681" s="8"/>
      <c r="K681" s="13"/>
    </row>
    <row r="682" spans="1:11" x14ac:dyDescent="0.25">
      <c r="A682" s="3" t="str">
        <f>"51079048720"</f>
        <v>51079048720</v>
      </c>
      <c r="B682" s="3" t="s">
        <v>957</v>
      </c>
      <c r="C682" s="3" t="s">
        <v>965</v>
      </c>
      <c r="D682" s="3">
        <v>100</v>
      </c>
      <c r="E682" s="4" t="s">
        <v>11</v>
      </c>
      <c r="F682" s="5">
        <v>5</v>
      </c>
      <c r="G682" s="3">
        <v>100</v>
      </c>
      <c r="I682" s="7"/>
      <c r="J682" s="8"/>
      <c r="K682" s="9"/>
    </row>
    <row r="683" spans="1:11" x14ac:dyDescent="0.25">
      <c r="A683" t="str">
        <f>"00378607405"</f>
        <v>00378607405</v>
      </c>
      <c r="B683" t="s">
        <v>957</v>
      </c>
      <c r="C683" t="s">
        <v>966</v>
      </c>
      <c r="D683">
        <v>500</v>
      </c>
      <c r="E683" s="10" t="s">
        <v>11</v>
      </c>
      <c r="F683" s="11">
        <v>5</v>
      </c>
      <c r="G683">
        <v>500</v>
      </c>
      <c r="I683" s="12"/>
      <c r="J683" s="8"/>
      <c r="K683" s="13"/>
    </row>
    <row r="684" spans="1:11" x14ac:dyDescent="0.25">
      <c r="A684" s="3" t="str">
        <f>"00121065304"</f>
        <v>00121065304</v>
      </c>
      <c r="B684" s="3" t="s">
        <v>957</v>
      </c>
      <c r="C684" s="3" t="s">
        <v>967</v>
      </c>
      <c r="D684" s="3">
        <v>4</v>
      </c>
      <c r="E684" s="4" t="s">
        <v>20</v>
      </c>
      <c r="F684" s="5">
        <v>5</v>
      </c>
      <c r="G684" s="3">
        <v>120</v>
      </c>
      <c r="I684" s="7"/>
      <c r="J684" s="8"/>
      <c r="K684" s="9"/>
    </row>
    <row r="685" spans="1:11" x14ac:dyDescent="0.25">
      <c r="A685" t="str">
        <f>"68084084625"</f>
        <v>68084084625</v>
      </c>
      <c r="B685" t="s">
        <v>957</v>
      </c>
      <c r="C685" t="s">
        <v>968</v>
      </c>
      <c r="D685">
        <v>30</v>
      </c>
      <c r="E685" s="10" t="s">
        <v>11</v>
      </c>
      <c r="F685" s="11">
        <v>5</v>
      </c>
      <c r="G685">
        <v>30</v>
      </c>
      <c r="I685" s="12"/>
      <c r="J685" s="8"/>
      <c r="K685" s="13"/>
    </row>
    <row r="686" spans="1:11" x14ac:dyDescent="0.25">
      <c r="A686" s="3" t="str">
        <f>"54799050805"</f>
        <v>54799050805</v>
      </c>
      <c r="B686" s="3" t="s">
        <v>969</v>
      </c>
      <c r="C686" s="3" t="s">
        <v>970</v>
      </c>
      <c r="D686" s="3">
        <v>5</v>
      </c>
      <c r="E686" s="4">
        <v>4.0000000000000001E-3</v>
      </c>
      <c r="F686" s="5">
        <v>0.25</v>
      </c>
      <c r="G686" s="3">
        <v>5</v>
      </c>
      <c r="I686" s="7"/>
      <c r="J686" s="8"/>
      <c r="K686" s="9"/>
    </row>
    <row r="687" spans="1:11" x14ac:dyDescent="0.25">
      <c r="A687" t="str">
        <f>"50383070016"</f>
        <v>50383070016</v>
      </c>
      <c r="B687" t="s">
        <v>927</v>
      </c>
      <c r="C687" t="s">
        <v>971</v>
      </c>
      <c r="D687">
        <v>16</v>
      </c>
      <c r="E687" s="10" t="s">
        <v>178</v>
      </c>
      <c r="F687" s="11">
        <v>50</v>
      </c>
      <c r="G687">
        <v>16</v>
      </c>
      <c r="I687" s="12"/>
      <c r="J687" s="8"/>
      <c r="K687" s="13"/>
    </row>
    <row r="688" spans="1:11" x14ac:dyDescent="0.25">
      <c r="A688" s="3" t="str">
        <f>"00054327099"</f>
        <v>00054327099</v>
      </c>
      <c r="B688" s="3" t="s">
        <v>927</v>
      </c>
      <c r="C688" s="3" t="s">
        <v>971</v>
      </c>
      <c r="D688" s="3">
        <v>16</v>
      </c>
      <c r="E688" s="4" t="s">
        <v>178</v>
      </c>
      <c r="F688" s="5">
        <v>50</v>
      </c>
      <c r="G688" s="3">
        <v>16</v>
      </c>
      <c r="I688" s="7"/>
      <c r="J688" s="8"/>
      <c r="K688" s="9"/>
    </row>
    <row r="689" spans="1:11" x14ac:dyDescent="0.25">
      <c r="A689" t="str">
        <f>"62559016001"</f>
        <v>62559016001</v>
      </c>
      <c r="B689" t="s">
        <v>972</v>
      </c>
      <c r="C689" t="s">
        <v>973</v>
      </c>
      <c r="D689">
        <v>100</v>
      </c>
      <c r="E689" s="10" t="s">
        <v>11</v>
      </c>
      <c r="F689" s="11">
        <v>100</v>
      </c>
      <c r="G689">
        <v>100</v>
      </c>
      <c r="I689" s="12"/>
      <c r="J689" s="8"/>
      <c r="K689" s="13"/>
    </row>
    <row r="690" spans="1:11" x14ac:dyDescent="0.25">
      <c r="A690" s="3" t="str">
        <f>"00378041201"</f>
        <v>00378041201</v>
      </c>
      <c r="B690" s="3" t="s">
        <v>972</v>
      </c>
      <c r="C690" s="3" t="s">
        <v>974</v>
      </c>
      <c r="D690" s="3">
        <v>100</v>
      </c>
      <c r="E690" s="4" t="s">
        <v>11</v>
      </c>
      <c r="F690" s="5">
        <v>50</v>
      </c>
      <c r="G690" s="3">
        <v>100</v>
      </c>
      <c r="I690" s="7"/>
      <c r="J690" s="8"/>
      <c r="K690" s="9"/>
    </row>
    <row r="691" spans="1:11" x14ac:dyDescent="0.25">
      <c r="A691" t="str">
        <f>"00603316221"</f>
        <v>00603316221</v>
      </c>
      <c r="B691" t="s">
        <v>975</v>
      </c>
      <c r="C691" t="s">
        <v>976</v>
      </c>
      <c r="D691">
        <v>100</v>
      </c>
      <c r="E691" s="10" t="s">
        <v>11</v>
      </c>
      <c r="F691" s="11">
        <v>1</v>
      </c>
      <c r="G691">
        <v>100</v>
      </c>
      <c r="I691" s="12"/>
      <c r="J691" s="8"/>
      <c r="K691" s="13"/>
    </row>
    <row r="692" spans="1:11" x14ac:dyDescent="0.25">
      <c r="A692" s="3" t="str">
        <f>"62584089701"</f>
        <v>62584089701</v>
      </c>
      <c r="B692" s="3" t="s">
        <v>975</v>
      </c>
      <c r="C692" s="3" t="s">
        <v>977</v>
      </c>
      <c r="D692" s="3">
        <v>100</v>
      </c>
      <c r="E692" s="4" t="s">
        <v>11</v>
      </c>
      <c r="F692" s="5">
        <v>1</v>
      </c>
      <c r="G692" s="3">
        <v>100</v>
      </c>
      <c r="I692" s="7"/>
      <c r="J692" s="8"/>
      <c r="K692" s="9"/>
    </row>
    <row r="693" spans="1:11" x14ac:dyDescent="0.25">
      <c r="A693" t="str">
        <f>"00603316232"</f>
        <v>00603316232</v>
      </c>
      <c r="B693" t="s">
        <v>975</v>
      </c>
      <c r="C693" t="s">
        <v>978</v>
      </c>
      <c r="D693">
        <v>1000</v>
      </c>
      <c r="E693" s="10" t="s">
        <v>11</v>
      </c>
      <c r="F693" s="11">
        <v>1</v>
      </c>
      <c r="G693">
        <v>1000</v>
      </c>
      <c r="I693" s="12"/>
      <c r="J693" s="8"/>
      <c r="K693" s="13"/>
    </row>
    <row r="694" spans="1:11" x14ac:dyDescent="0.25">
      <c r="A694" s="3" t="str">
        <f>"54092025290"</f>
        <v>54092025290</v>
      </c>
      <c r="B694" s="3" t="s">
        <v>979</v>
      </c>
      <c r="C694" s="3" t="s">
        <v>980</v>
      </c>
      <c r="D694" s="3">
        <v>90</v>
      </c>
      <c r="E694" s="4" t="s">
        <v>11</v>
      </c>
      <c r="F694" s="5">
        <v>500</v>
      </c>
      <c r="G694" s="3">
        <v>90</v>
      </c>
      <c r="I694" s="7"/>
      <c r="J694" s="8"/>
      <c r="K694" s="9"/>
    </row>
    <row r="695" spans="1:11" x14ac:dyDescent="0.25">
      <c r="A695" t="str">
        <f>"54092025490"</f>
        <v>54092025490</v>
      </c>
      <c r="B695" t="s">
        <v>979</v>
      </c>
      <c r="C695" t="s">
        <v>981</v>
      </c>
      <c r="D695">
        <v>90</v>
      </c>
      <c r="E695" s="10" t="s">
        <v>11</v>
      </c>
      <c r="F695" s="11">
        <v>1000</v>
      </c>
      <c r="G695">
        <v>90</v>
      </c>
      <c r="I695" s="12"/>
      <c r="J695" s="8"/>
      <c r="K695" s="13"/>
    </row>
    <row r="696" spans="1:11" x14ac:dyDescent="0.25">
      <c r="A696" s="3" t="str">
        <f>"00409610210"</f>
        <v>00409610210</v>
      </c>
      <c r="B696" s="3" t="s">
        <v>982</v>
      </c>
      <c r="C696" s="3" t="s">
        <v>983</v>
      </c>
      <c r="D696" s="3">
        <v>250</v>
      </c>
      <c r="E696" s="4" t="s">
        <v>984</v>
      </c>
      <c r="F696" s="5">
        <v>100</v>
      </c>
      <c r="G696" s="3">
        <v>10</v>
      </c>
      <c r="I696" s="7"/>
      <c r="J696" s="8"/>
      <c r="K696" s="9"/>
    </row>
    <row r="697" spans="1:11" x14ac:dyDescent="0.25">
      <c r="A697" t="str">
        <f>"51079007220"</f>
        <v>51079007220</v>
      </c>
      <c r="B697" t="s">
        <v>982</v>
      </c>
      <c r="C697" t="s">
        <v>985</v>
      </c>
      <c r="D697">
        <v>100</v>
      </c>
      <c r="E697" s="10" t="s">
        <v>11</v>
      </c>
      <c r="F697" s="11">
        <v>20</v>
      </c>
      <c r="G697">
        <v>100</v>
      </c>
      <c r="I697" s="12"/>
      <c r="J697" s="8"/>
      <c r="K697" s="13"/>
    </row>
    <row r="698" spans="1:11" x14ac:dyDescent="0.25">
      <c r="A698" s="3" t="str">
        <f>"00603373932"</f>
        <v>00603373932</v>
      </c>
      <c r="B698" s="3" t="s">
        <v>982</v>
      </c>
      <c r="C698" s="3" t="s">
        <v>986</v>
      </c>
      <c r="D698" s="3">
        <v>1000</v>
      </c>
      <c r="E698" s="4" t="s">
        <v>11</v>
      </c>
      <c r="F698" s="5">
        <v>20</v>
      </c>
      <c r="G698" s="3">
        <v>1000</v>
      </c>
      <c r="I698" s="7"/>
      <c r="J698" s="8"/>
      <c r="K698" s="9"/>
    </row>
    <row r="699" spans="1:11" x14ac:dyDescent="0.25">
      <c r="A699" t="str">
        <f>"69315011601"</f>
        <v>69315011601</v>
      </c>
      <c r="B699" t="s">
        <v>982</v>
      </c>
      <c r="C699" t="s">
        <v>987</v>
      </c>
      <c r="D699">
        <v>100</v>
      </c>
      <c r="E699" s="10" t="s">
        <v>11</v>
      </c>
      <c r="F699" s="11">
        <v>20</v>
      </c>
      <c r="G699">
        <v>100</v>
      </c>
      <c r="I699" s="12"/>
      <c r="J699" s="8"/>
      <c r="K699" s="13"/>
    </row>
    <row r="700" spans="1:11" x14ac:dyDescent="0.25">
      <c r="A700" s="3" t="str">
        <f>"69315011610"</f>
        <v>69315011610</v>
      </c>
      <c r="B700" s="3" t="s">
        <v>982</v>
      </c>
      <c r="C700" s="3" t="s">
        <v>988</v>
      </c>
      <c r="D700" s="3">
        <v>1000</v>
      </c>
      <c r="E700" s="4" t="s">
        <v>11</v>
      </c>
      <c r="F700" s="5">
        <v>20</v>
      </c>
      <c r="G700" s="3">
        <v>1000</v>
      </c>
      <c r="I700" s="7"/>
      <c r="J700" s="8"/>
      <c r="K700" s="9"/>
    </row>
    <row r="701" spans="1:11" x14ac:dyDescent="0.25">
      <c r="A701" t="str">
        <f>"36000028325"</f>
        <v>36000028325</v>
      </c>
      <c r="B701" t="s">
        <v>982</v>
      </c>
      <c r="C701" t="s">
        <v>989</v>
      </c>
      <c r="D701">
        <v>100</v>
      </c>
      <c r="E701" s="10" t="s">
        <v>11</v>
      </c>
      <c r="F701" s="11">
        <v>40</v>
      </c>
      <c r="G701">
        <v>4</v>
      </c>
      <c r="I701" s="12"/>
      <c r="J701" s="8"/>
      <c r="K701" s="13"/>
    </row>
    <row r="702" spans="1:11" x14ac:dyDescent="0.25">
      <c r="A702" s="3" t="str">
        <f>"00172290760"</f>
        <v>00172290760</v>
      </c>
      <c r="B702" s="3" t="s">
        <v>982</v>
      </c>
      <c r="C702" s="3" t="s">
        <v>990</v>
      </c>
      <c r="D702" s="3">
        <v>100</v>
      </c>
      <c r="E702" s="4" t="s">
        <v>11</v>
      </c>
      <c r="F702" s="5">
        <v>40</v>
      </c>
      <c r="G702" s="3">
        <v>100</v>
      </c>
      <c r="I702" s="7"/>
      <c r="J702" s="8"/>
      <c r="K702" s="9"/>
    </row>
    <row r="703" spans="1:11" x14ac:dyDescent="0.25">
      <c r="A703" t="str">
        <f>"00904579761"</f>
        <v>00904579761</v>
      </c>
      <c r="B703" t="s">
        <v>982</v>
      </c>
      <c r="C703" t="s">
        <v>991</v>
      </c>
      <c r="D703">
        <v>100</v>
      </c>
      <c r="E703" s="10" t="s">
        <v>11</v>
      </c>
      <c r="F703" s="11">
        <v>40</v>
      </c>
      <c r="G703">
        <v>100</v>
      </c>
      <c r="I703" s="12"/>
      <c r="J703" s="8"/>
      <c r="K703" s="13"/>
    </row>
    <row r="704" spans="1:11" x14ac:dyDescent="0.25">
      <c r="A704" s="3" t="str">
        <f>"69315011701"</f>
        <v>69315011701</v>
      </c>
      <c r="B704" s="3" t="s">
        <v>982</v>
      </c>
      <c r="C704" s="3" t="s">
        <v>992</v>
      </c>
      <c r="D704" s="3">
        <v>100</v>
      </c>
      <c r="E704" s="4" t="s">
        <v>11</v>
      </c>
      <c r="F704" s="5">
        <v>40</v>
      </c>
      <c r="G704" s="3">
        <v>100</v>
      </c>
      <c r="I704" s="7"/>
      <c r="J704" s="8"/>
      <c r="K704" s="9"/>
    </row>
    <row r="705" spans="1:11" x14ac:dyDescent="0.25">
      <c r="A705" t="str">
        <f>"69315011710"</f>
        <v>69315011710</v>
      </c>
      <c r="B705" t="s">
        <v>982</v>
      </c>
      <c r="C705" t="s">
        <v>993</v>
      </c>
      <c r="D705">
        <v>1000</v>
      </c>
      <c r="E705" s="10" t="s">
        <v>11</v>
      </c>
      <c r="F705" s="11">
        <v>40</v>
      </c>
      <c r="G705">
        <v>1000</v>
      </c>
      <c r="I705" s="12"/>
      <c r="J705" s="8"/>
      <c r="K705" s="13"/>
    </row>
    <row r="706" spans="1:11" x14ac:dyDescent="0.25">
      <c r="A706" s="3" t="str">
        <f>"00603374132"</f>
        <v>00603374132</v>
      </c>
      <c r="B706" s="3" t="s">
        <v>982</v>
      </c>
      <c r="C706" s="3" t="s">
        <v>994</v>
      </c>
      <c r="D706" s="3">
        <v>1000</v>
      </c>
      <c r="E706" s="4" t="s">
        <v>11</v>
      </c>
      <c r="F706" s="5">
        <v>80</v>
      </c>
      <c r="G706" s="3">
        <v>1000</v>
      </c>
      <c r="I706" s="7"/>
      <c r="J706" s="8"/>
      <c r="K706" s="9"/>
    </row>
    <row r="707" spans="1:11" x14ac:dyDescent="0.25">
      <c r="A707" t="str">
        <f>"50742010605"</f>
        <v>50742010605</v>
      </c>
      <c r="B707" t="s">
        <v>982</v>
      </c>
      <c r="C707" t="s">
        <v>995</v>
      </c>
      <c r="D707">
        <v>500</v>
      </c>
      <c r="E707" s="10" t="s">
        <v>11</v>
      </c>
      <c r="F707" s="11">
        <v>80</v>
      </c>
      <c r="G707">
        <v>500</v>
      </c>
      <c r="I707" s="12"/>
      <c r="J707" s="8"/>
      <c r="K707" s="13"/>
    </row>
    <row r="708" spans="1:11" x14ac:dyDescent="0.25">
      <c r="A708" s="3" t="str">
        <f>"00378023205"</f>
        <v>00378023205</v>
      </c>
      <c r="B708" s="3" t="s">
        <v>982</v>
      </c>
      <c r="C708" s="3" t="s">
        <v>995</v>
      </c>
      <c r="D708" s="3">
        <v>500</v>
      </c>
      <c r="E708" s="4" t="s">
        <v>11</v>
      </c>
      <c r="F708" s="5">
        <v>80</v>
      </c>
      <c r="G708" s="3">
        <v>500</v>
      </c>
      <c r="I708" s="7"/>
      <c r="J708" s="8"/>
      <c r="K708" s="9"/>
    </row>
    <row r="709" spans="1:11" x14ac:dyDescent="0.25">
      <c r="A709" t="str">
        <f>"60505011200"</f>
        <v>60505011200</v>
      </c>
      <c r="B709" t="s">
        <v>996</v>
      </c>
      <c r="C709" t="s">
        <v>997</v>
      </c>
      <c r="D709">
        <v>100</v>
      </c>
      <c r="E709" s="10" t="s">
        <v>11</v>
      </c>
      <c r="F709" s="11">
        <v>100</v>
      </c>
      <c r="G709">
        <v>100</v>
      </c>
      <c r="I709" s="12"/>
      <c r="J709" s="8"/>
      <c r="K709" s="13"/>
    </row>
    <row r="710" spans="1:11" x14ac:dyDescent="0.25">
      <c r="A710" s="3" t="str">
        <f>"00904563161"</f>
        <v>00904563161</v>
      </c>
      <c r="B710" s="3" t="s">
        <v>996</v>
      </c>
      <c r="C710" s="3" t="s">
        <v>997</v>
      </c>
      <c r="D710" s="3">
        <v>100</v>
      </c>
      <c r="E710" s="4" t="s">
        <v>11</v>
      </c>
      <c r="F710" s="5">
        <v>100</v>
      </c>
      <c r="G710" s="3">
        <v>100</v>
      </c>
      <c r="I710" s="7"/>
      <c r="J710" s="8"/>
      <c r="K710" s="9"/>
    </row>
    <row r="711" spans="1:11" x14ac:dyDescent="0.25">
      <c r="A711" t="str">
        <f>"45963055550"</f>
        <v>45963055550</v>
      </c>
      <c r="B711" t="s">
        <v>996</v>
      </c>
      <c r="C711" t="s">
        <v>998</v>
      </c>
      <c r="D711">
        <v>500</v>
      </c>
      <c r="E711" s="10" t="s">
        <v>11</v>
      </c>
      <c r="F711" s="11">
        <v>100</v>
      </c>
      <c r="G711">
        <v>500</v>
      </c>
      <c r="I711" s="12"/>
      <c r="J711" s="8"/>
      <c r="K711" s="13"/>
    </row>
    <row r="712" spans="1:11" x14ac:dyDescent="0.25">
      <c r="A712" s="3" t="str">
        <f>"45963055611"</f>
        <v>45963055611</v>
      </c>
      <c r="B712" s="3" t="s">
        <v>996</v>
      </c>
      <c r="C712" s="3" t="s">
        <v>999</v>
      </c>
      <c r="D712" s="3">
        <v>100</v>
      </c>
      <c r="E712" s="4" t="s">
        <v>11</v>
      </c>
      <c r="F712" s="5">
        <v>300</v>
      </c>
      <c r="G712" s="3">
        <v>100</v>
      </c>
      <c r="I712" s="7"/>
      <c r="J712" s="8"/>
      <c r="K712" s="9"/>
    </row>
    <row r="713" spans="1:11" x14ac:dyDescent="0.25">
      <c r="A713" t="str">
        <f>"60505011300"</f>
        <v>60505011300</v>
      </c>
      <c r="B713" t="s">
        <v>996</v>
      </c>
      <c r="C713" t="s">
        <v>1000</v>
      </c>
      <c r="D713">
        <v>100</v>
      </c>
      <c r="E713" s="10" t="s">
        <v>11</v>
      </c>
      <c r="F713" s="11">
        <v>300</v>
      </c>
      <c r="G713">
        <v>100</v>
      </c>
      <c r="I713" s="12"/>
      <c r="J713" s="8"/>
      <c r="K713" s="13"/>
    </row>
    <row r="714" spans="1:11" x14ac:dyDescent="0.25">
      <c r="A714" s="3" t="str">
        <f>"68084076201"</f>
        <v>68084076201</v>
      </c>
      <c r="B714" s="3" t="s">
        <v>996</v>
      </c>
      <c r="C714" s="3" t="s">
        <v>1001</v>
      </c>
      <c r="D714" s="3">
        <v>100</v>
      </c>
      <c r="E714" s="4" t="s">
        <v>11</v>
      </c>
      <c r="F714" s="5">
        <v>300</v>
      </c>
      <c r="G714" s="3">
        <v>100</v>
      </c>
      <c r="I714" s="7"/>
      <c r="J714" s="8"/>
      <c r="K714" s="9"/>
    </row>
    <row r="715" spans="1:11" x14ac:dyDescent="0.25">
      <c r="A715" t="str">
        <f>"45963055650"</f>
        <v>45963055650</v>
      </c>
      <c r="B715" t="s">
        <v>996</v>
      </c>
      <c r="C715" t="s">
        <v>1002</v>
      </c>
      <c r="D715">
        <v>500</v>
      </c>
      <c r="E715" s="10" t="s">
        <v>11</v>
      </c>
      <c r="F715" s="11">
        <v>300</v>
      </c>
      <c r="G715">
        <v>500</v>
      </c>
      <c r="I715" s="12"/>
      <c r="J715" s="8"/>
      <c r="K715" s="13"/>
    </row>
    <row r="716" spans="1:11" x14ac:dyDescent="0.25">
      <c r="A716" s="3" t="str">
        <f>"45963055711"</f>
        <v>45963055711</v>
      </c>
      <c r="B716" s="3" t="s">
        <v>996</v>
      </c>
      <c r="C716" s="3" t="s">
        <v>1003</v>
      </c>
      <c r="D716" s="3">
        <v>100</v>
      </c>
      <c r="E716" s="4" t="s">
        <v>11</v>
      </c>
      <c r="F716" s="5">
        <v>400</v>
      </c>
      <c r="G716" s="3">
        <v>100</v>
      </c>
      <c r="I716" s="7"/>
      <c r="J716" s="8"/>
      <c r="K716" s="9"/>
    </row>
    <row r="717" spans="1:11" x14ac:dyDescent="0.25">
      <c r="A717" t="str">
        <f>"00228266711"</f>
        <v>00228266711</v>
      </c>
      <c r="B717" t="s">
        <v>996</v>
      </c>
      <c r="C717" t="s">
        <v>1003</v>
      </c>
      <c r="D717">
        <v>100</v>
      </c>
      <c r="E717" s="10" t="s">
        <v>11</v>
      </c>
      <c r="F717" s="11">
        <v>400</v>
      </c>
      <c r="G717">
        <v>100</v>
      </c>
      <c r="I717" s="12"/>
      <c r="J717" s="8"/>
      <c r="K717" s="13"/>
    </row>
    <row r="718" spans="1:11" x14ac:dyDescent="0.25">
      <c r="A718" s="3" t="str">
        <f>"60505011400"</f>
        <v>60505011400</v>
      </c>
      <c r="B718" s="3" t="s">
        <v>996</v>
      </c>
      <c r="C718" s="3" t="s">
        <v>1004</v>
      </c>
      <c r="D718" s="3">
        <v>100</v>
      </c>
      <c r="E718" s="4" t="s">
        <v>11</v>
      </c>
      <c r="F718" s="5">
        <v>400</v>
      </c>
      <c r="G718" s="3">
        <v>100</v>
      </c>
      <c r="I718" s="7"/>
      <c r="J718" s="8"/>
      <c r="K718" s="9"/>
    </row>
    <row r="719" spans="1:11" x14ac:dyDescent="0.25">
      <c r="A719" t="str">
        <f>"00228266750"</f>
        <v>00228266750</v>
      </c>
      <c r="B719" t="s">
        <v>996</v>
      </c>
      <c r="C719" t="s">
        <v>1005</v>
      </c>
      <c r="D719">
        <v>500</v>
      </c>
      <c r="E719" s="10" t="s">
        <v>11</v>
      </c>
      <c r="F719" s="11">
        <v>400</v>
      </c>
      <c r="G719">
        <v>500</v>
      </c>
      <c r="I719" s="12"/>
      <c r="J719" s="8"/>
      <c r="K719" s="13"/>
    </row>
    <row r="720" spans="1:11" x14ac:dyDescent="0.25">
      <c r="A720" s="3" t="str">
        <f>"68001000600"</f>
        <v>68001000600</v>
      </c>
      <c r="B720" s="3" t="s">
        <v>996</v>
      </c>
      <c r="C720" s="3" t="s">
        <v>1006</v>
      </c>
      <c r="D720" s="3">
        <v>100</v>
      </c>
      <c r="E720" s="4" t="s">
        <v>11</v>
      </c>
      <c r="F720" s="5">
        <v>600</v>
      </c>
      <c r="G720" s="3">
        <v>100</v>
      </c>
      <c r="I720" s="7"/>
      <c r="J720" s="8"/>
      <c r="K720" s="9"/>
    </row>
    <row r="721" spans="1:11" x14ac:dyDescent="0.25">
      <c r="A721" t="str">
        <f>"68001000603"</f>
        <v>68001000603</v>
      </c>
      <c r="B721" t="s">
        <v>996</v>
      </c>
      <c r="C721" t="s">
        <v>1007</v>
      </c>
      <c r="D721">
        <v>500</v>
      </c>
      <c r="E721" s="10" t="s">
        <v>11</v>
      </c>
      <c r="F721" s="11">
        <v>600</v>
      </c>
      <c r="G721">
        <v>500</v>
      </c>
      <c r="I721" s="12"/>
      <c r="J721" s="8"/>
      <c r="K721" s="13"/>
    </row>
    <row r="722" spans="1:11" x14ac:dyDescent="0.25">
      <c r="A722" s="3" t="str">
        <f>"68084079701"</f>
        <v>68084079701</v>
      </c>
      <c r="B722" s="3" t="s">
        <v>996</v>
      </c>
      <c r="C722" s="3" t="s">
        <v>1008</v>
      </c>
      <c r="D722" s="3">
        <v>100</v>
      </c>
      <c r="E722" s="4" t="s">
        <v>11</v>
      </c>
      <c r="F722" s="5">
        <v>600</v>
      </c>
      <c r="G722" s="3">
        <v>100</v>
      </c>
      <c r="I722" s="7"/>
      <c r="J722" s="8"/>
      <c r="K722" s="9"/>
    </row>
    <row r="723" spans="1:11" x14ac:dyDescent="0.25">
      <c r="A723" t="str">
        <f>"42292002420"</f>
        <v>42292002420</v>
      </c>
      <c r="B723" t="s">
        <v>996</v>
      </c>
      <c r="C723" t="s">
        <v>1009</v>
      </c>
      <c r="D723">
        <v>100</v>
      </c>
      <c r="E723" s="10" t="s">
        <v>11</v>
      </c>
      <c r="F723" s="11">
        <v>600</v>
      </c>
      <c r="G723">
        <v>100</v>
      </c>
      <c r="I723" s="12"/>
      <c r="J723" s="8"/>
      <c r="K723" s="13"/>
    </row>
    <row r="724" spans="1:11" x14ac:dyDescent="0.25">
      <c r="A724" s="3" t="str">
        <f>"68001000700"</f>
        <v>68001000700</v>
      </c>
      <c r="B724" s="3" t="s">
        <v>996</v>
      </c>
      <c r="C724" s="3" t="s">
        <v>1010</v>
      </c>
      <c r="D724" s="3">
        <v>100</v>
      </c>
      <c r="E724" s="4" t="s">
        <v>11</v>
      </c>
      <c r="F724" s="5">
        <v>800</v>
      </c>
      <c r="G724" s="3">
        <v>100</v>
      </c>
      <c r="I724" s="7"/>
      <c r="J724" s="8"/>
      <c r="K724" s="9"/>
    </row>
    <row r="725" spans="1:11" x14ac:dyDescent="0.25">
      <c r="A725" t="str">
        <f>"68001000703"</f>
        <v>68001000703</v>
      </c>
      <c r="B725" t="s">
        <v>996</v>
      </c>
      <c r="C725" t="s">
        <v>1011</v>
      </c>
      <c r="D725">
        <v>500</v>
      </c>
      <c r="E725" s="10" t="s">
        <v>11</v>
      </c>
      <c r="F725" s="11">
        <v>800</v>
      </c>
      <c r="G725">
        <v>500</v>
      </c>
      <c r="I725" s="12"/>
      <c r="J725" s="8"/>
      <c r="K725" s="13"/>
    </row>
    <row r="726" spans="1:11" x14ac:dyDescent="0.25">
      <c r="A726" s="3" t="str">
        <f>"68180043501"</f>
        <v>68180043501</v>
      </c>
      <c r="B726" s="3" t="s">
        <v>1012</v>
      </c>
      <c r="C726" s="3" t="s">
        <v>1013</v>
      </c>
      <c r="D726" s="3">
        <v>2.5</v>
      </c>
      <c r="E726" s="4" t="s">
        <v>43</v>
      </c>
      <c r="F726" s="5">
        <v>0.5</v>
      </c>
      <c r="G726" s="3">
        <v>2.5</v>
      </c>
      <c r="I726" s="7"/>
      <c r="J726" s="8"/>
      <c r="K726" s="9"/>
    </row>
    <row r="727" spans="1:11" x14ac:dyDescent="0.25">
      <c r="A727" t="str">
        <f>"60758061525"</f>
        <v>60758061525</v>
      </c>
      <c r="B727" t="s">
        <v>1012</v>
      </c>
      <c r="C727" t="s">
        <v>1014</v>
      </c>
      <c r="D727">
        <v>2.5</v>
      </c>
      <c r="E727" s="10" t="s">
        <v>43</v>
      </c>
      <c r="F727" s="11">
        <v>0.5</v>
      </c>
      <c r="G727">
        <v>2.5</v>
      </c>
      <c r="I727" s="12"/>
      <c r="J727" s="8"/>
      <c r="K727" s="13"/>
    </row>
    <row r="728" spans="1:11" x14ac:dyDescent="0.25">
      <c r="A728" s="3" t="str">
        <f>"43386005019"</f>
        <v>43386005019</v>
      </c>
      <c r="B728" s="3" t="s">
        <v>1015</v>
      </c>
      <c r="C728" s="3" t="s">
        <v>1016</v>
      </c>
      <c r="D728" s="3">
        <v>4000</v>
      </c>
      <c r="E728" s="4"/>
      <c r="F728" s="5"/>
      <c r="G728" s="3">
        <v>4000</v>
      </c>
      <c r="I728" s="7"/>
      <c r="J728" s="8"/>
      <c r="K728" s="9"/>
    </row>
    <row r="729" spans="1:11" x14ac:dyDescent="0.25">
      <c r="A729" t="str">
        <f>"68084047301"</f>
        <v>68084047301</v>
      </c>
      <c r="B729" t="s">
        <v>1017</v>
      </c>
      <c r="C729" t="s">
        <v>1018</v>
      </c>
      <c r="D729">
        <v>100</v>
      </c>
      <c r="E729" s="10" t="s">
        <v>11</v>
      </c>
      <c r="F729" s="11">
        <v>600</v>
      </c>
      <c r="G729">
        <v>100</v>
      </c>
      <c r="I729" s="12"/>
      <c r="J729" s="8"/>
      <c r="K729" s="13"/>
    </row>
    <row r="730" spans="1:11" x14ac:dyDescent="0.25">
      <c r="A730" s="3" t="str">
        <f>"31722022505"</f>
        <v>31722022505</v>
      </c>
      <c r="B730" s="3" t="s">
        <v>1017</v>
      </c>
      <c r="C730" s="3" t="s">
        <v>1019</v>
      </c>
      <c r="D730" s="3">
        <v>500</v>
      </c>
      <c r="E730" s="4" t="s">
        <v>11</v>
      </c>
      <c r="F730" s="5">
        <v>600</v>
      </c>
      <c r="G730" s="3">
        <v>500</v>
      </c>
      <c r="I730" s="7"/>
      <c r="J730" s="8"/>
      <c r="K730" s="9"/>
    </row>
    <row r="731" spans="1:11" x14ac:dyDescent="0.25">
      <c r="A731" t="str">
        <f>"69097082112"</f>
        <v>69097082112</v>
      </c>
      <c r="B731" t="s">
        <v>1017</v>
      </c>
      <c r="C731" t="s">
        <v>1020</v>
      </c>
      <c r="D731">
        <v>500</v>
      </c>
      <c r="E731" s="10" t="s">
        <v>11</v>
      </c>
      <c r="F731" s="11">
        <v>600</v>
      </c>
      <c r="G731">
        <v>500</v>
      </c>
      <c r="I731" s="12"/>
      <c r="J731" s="8"/>
      <c r="K731" s="13"/>
    </row>
    <row r="732" spans="1:11" x14ac:dyDescent="0.25">
      <c r="A732" s="3" t="str">
        <f>"69097082103"</f>
        <v>69097082103</v>
      </c>
      <c r="B732" s="3" t="s">
        <v>1017</v>
      </c>
      <c r="C732" s="3" t="s">
        <v>1021</v>
      </c>
      <c r="D732" s="3">
        <v>60</v>
      </c>
      <c r="E732" s="4" t="s">
        <v>11</v>
      </c>
      <c r="F732" s="5">
        <v>600</v>
      </c>
      <c r="G732" s="3">
        <v>60</v>
      </c>
      <c r="I732" s="7"/>
      <c r="J732" s="8"/>
      <c r="K732" s="9"/>
    </row>
    <row r="733" spans="1:11" x14ac:dyDescent="0.25">
      <c r="A733" t="str">
        <f>"17478028435"</f>
        <v>17478028435</v>
      </c>
      <c r="B733" t="s">
        <v>1022</v>
      </c>
      <c r="C733" t="s">
        <v>1023</v>
      </c>
      <c r="D733">
        <v>3.5</v>
      </c>
      <c r="E733" s="10" t="s">
        <v>43</v>
      </c>
      <c r="F733" s="11">
        <v>0.3</v>
      </c>
      <c r="G733">
        <v>3.5</v>
      </c>
      <c r="I733" s="12"/>
      <c r="J733" s="8"/>
      <c r="K733" s="13"/>
    </row>
    <row r="734" spans="1:11" x14ac:dyDescent="0.25">
      <c r="A734" s="3" t="str">
        <f>"60758018805"</f>
        <v>60758018805</v>
      </c>
      <c r="B734" s="3" t="s">
        <v>1022</v>
      </c>
      <c r="C734" s="3" t="s">
        <v>1024</v>
      </c>
      <c r="D734" s="3">
        <v>5</v>
      </c>
      <c r="E734" s="4" t="s">
        <v>43</v>
      </c>
      <c r="F734" s="5">
        <v>0.3</v>
      </c>
      <c r="G734" s="3">
        <v>5</v>
      </c>
      <c r="I734" s="7"/>
      <c r="J734" s="8"/>
      <c r="K734" s="9"/>
    </row>
    <row r="735" spans="1:11" x14ac:dyDescent="0.25">
      <c r="A735" t="str">
        <f>"63323001002"</f>
        <v>63323001002</v>
      </c>
      <c r="B735" t="s">
        <v>1022</v>
      </c>
      <c r="C735" t="s">
        <v>1025</v>
      </c>
      <c r="D735">
        <v>50</v>
      </c>
      <c r="E735" s="10" t="s">
        <v>20</v>
      </c>
      <c r="F735" s="11">
        <v>40</v>
      </c>
      <c r="G735">
        <v>2</v>
      </c>
      <c r="I735" s="12"/>
      <c r="J735" s="8"/>
      <c r="K735" s="13"/>
    </row>
    <row r="736" spans="1:11" x14ac:dyDescent="0.25">
      <c r="A736" s="3" t="str">
        <f>"61958190101"</f>
        <v>61958190101</v>
      </c>
      <c r="B736" s="3" t="s">
        <v>1026</v>
      </c>
      <c r="C736" s="3" t="s">
        <v>1027</v>
      </c>
      <c r="D736" s="3">
        <v>30</v>
      </c>
      <c r="E736" s="4" t="s">
        <v>1028</v>
      </c>
      <c r="F736" s="5">
        <v>150</v>
      </c>
      <c r="G736" s="3">
        <v>30</v>
      </c>
      <c r="I736" s="7"/>
      <c r="J736" s="8"/>
      <c r="K736" s="9"/>
    </row>
    <row r="737" spans="1:11" x14ac:dyDescent="0.25">
      <c r="A737" t="str">
        <f>"00049397060"</f>
        <v>00049397060</v>
      </c>
      <c r="B737" t="s">
        <v>1029</v>
      </c>
      <c r="C737" t="s">
        <v>1030</v>
      </c>
      <c r="D737">
        <v>60</v>
      </c>
      <c r="E737" s="10" t="s">
        <v>11</v>
      </c>
      <c r="F737" s="11">
        <v>40</v>
      </c>
      <c r="G737">
        <v>60</v>
      </c>
      <c r="I737" s="12"/>
      <c r="J737" s="8"/>
      <c r="K737" s="13"/>
    </row>
    <row r="738" spans="1:11" x14ac:dyDescent="0.25">
      <c r="A738" s="3" t="str">
        <f>"00049399060"</f>
        <v>00049399060</v>
      </c>
      <c r="B738" s="3" t="s">
        <v>1029</v>
      </c>
      <c r="C738" s="3" t="s">
        <v>1033</v>
      </c>
      <c r="D738" s="3">
        <v>60</v>
      </c>
      <c r="E738" s="4" t="s">
        <v>11</v>
      </c>
      <c r="F738" s="5">
        <v>80</v>
      </c>
      <c r="G738" s="3">
        <v>60</v>
      </c>
      <c r="I738" s="7"/>
      <c r="J738" s="8"/>
      <c r="K738" s="9"/>
    </row>
    <row r="739" spans="1:11" x14ac:dyDescent="0.25">
      <c r="A739" t="str">
        <f>"00049392083"</f>
        <v>00049392083</v>
      </c>
      <c r="B739" t="s">
        <v>1031</v>
      </c>
      <c r="C739" t="s">
        <v>1032</v>
      </c>
      <c r="D739">
        <v>10</v>
      </c>
      <c r="E739" s="10" t="s">
        <v>1034</v>
      </c>
      <c r="F739" s="11" t="s">
        <v>1035</v>
      </c>
      <c r="G739">
        <v>1</v>
      </c>
      <c r="I739" s="12"/>
      <c r="J739" s="8"/>
      <c r="K739" s="13"/>
    </row>
    <row r="740" spans="1:11" x14ac:dyDescent="0.25">
      <c r="A740" s="3" t="str">
        <f>"00078060715"</f>
        <v>00078060715</v>
      </c>
      <c r="B740" s="3" t="s">
        <v>1036</v>
      </c>
      <c r="C740" s="3" t="s">
        <v>1037</v>
      </c>
      <c r="D740" s="3">
        <v>30</v>
      </c>
      <c r="E740" s="4" t="s">
        <v>11</v>
      </c>
      <c r="F740" s="5">
        <v>0.5</v>
      </c>
      <c r="G740" s="3">
        <v>30</v>
      </c>
      <c r="I740" s="7"/>
      <c r="J740" s="8"/>
      <c r="K740" s="9"/>
    </row>
    <row r="741" spans="1:11" x14ac:dyDescent="0.25">
      <c r="A741" t="str">
        <f>"00078064930"</f>
        <v>00078064930</v>
      </c>
      <c r="B741" t="s">
        <v>1038</v>
      </c>
      <c r="C741" t="s">
        <v>1039</v>
      </c>
      <c r="D741">
        <v>30</v>
      </c>
      <c r="E741" s="10" t="s">
        <v>11</v>
      </c>
      <c r="F741" s="11">
        <v>400</v>
      </c>
      <c r="G741">
        <v>30</v>
      </c>
      <c r="I741" s="12"/>
      <c r="J741" s="8"/>
      <c r="K741" s="13"/>
    </row>
    <row r="742" spans="1:11" x14ac:dyDescent="0.25">
      <c r="A742" s="3" t="str">
        <f>"60505014201"</f>
        <v>60505014201</v>
      </c>
      <c r="B742" s="3" t="s">
        <v>1040</v>
      </c>
      <c r="C742" s="3" t="s">
        <v>1041</v>
      </c>
      <c r="D742" s="3">
        <v>1000</v>
      </c>
      <c r="E742" s="4" t="s">
        <v>11</v>
      </c>
      <c r="F742" s="5">
        <v>10</v>
      </c>
      <c r="G742" s="3">
        <v>1000</v>
      </c>
      <c r="I742" s="7"/>
      <c r="J742" s="8"/>
      <c r="K742" s="9"/>
    </row>
    <row r="743" spans="1:11" x14ac:dyDescent="0.25">
      <c r="A743" t="str">
        <f>"60505014100"</f>
        <v>60505014100</v>
      </c>
      <c r="B743" t="s">
        <v>1040</v>
      </c>
      <c r="C743" t="s">
        <v>1042</v>
      </c>
      <c r="D743">
        <v>100</v>
      </c>
      <c r="E743" s="10" t="s">
        <v>11</v>
      </c>
      <c r="F743" s="11">
        <v>5</v>
      </c>
      <c r="G743">
        <v>100</v>
      </c>
      <c r="I743" s="12"/>
      <c r="J743" s="8"/>
      <c r="K743" s="13"/>
    </row>
    <row r="744" spans="1:11" x14ac:dyDescent="0.25">
      <c r="A744" s="3" t="str">
        <f>"51079081020"</f>
        <v>51079081020</v>
      </c>
      <c r="B744" s="3" t="s">
        <v>1040</v>
      </c>
      <c r="C744" s="3" t="s">
        <v>1043</v>
      </c>
      <c r="D744" s="3">
        <v>100</v>
      </c>
      <c r="E744" s="4" t="s">
        <v>11</v>
      </c>
      <c r="F744" s="5">
        <v>5</v>
      </c>
      <c r="G744" s="3">
        <v>100</v>
      </c>
      <c r="I744" s="7"/>
      <c r="J744" s="8"/>
      <c r="K744" s="9"/>
    </row>
    <row r="745" spans="1:11" x14ac:dyDescent="0.25">
      <c r="A745" t="str">
        <f>"60505014101"</f>
        <v>60505014101</v>
      </c>
      <c r="B745" t="s">
        <v>1040</v>
      </c>
      <c r="C745" t="s">
        <v>1044</v>
      </c>
      <c r="D745">
        <v>1000</v>
      </c>
      <c r="E745" s="10" t="s">
        <v>11</v>
      </c>
      <c r="F745" s="11">
        <v>5</v>
      </c>
      <c r="G745">
        <v>1000</v>
      </c>
      <c r="I745" s="12"/>
      <c r="J745" s="8"/>
      <c r="K745" s="13"/>
    </row>
    <row r="746" spans="1:11" x14ac:dyDescent="0.25">
      <c r="A746" s="3" t="str">
        <f>"00169706515"</f>
        <v>00169706515</v>
      </c>
      <c r="B746" s="3" t="s">
        <v>1045</v>
      </c>
      <c r="C746" s="3" t="s">
        <v>1046</v>
      </c>
      <c r="D746" s="3">
        <v>0</v>
      </c>
      <c r="E746" s="4" t="s">
        <v>11</v>
      </c>
      <c r="F746" s="5">
        <v>1</v>
      </c>
      <c r="G746" s="3">
        <v>1</v>
      </c>
      <c r="I746" s="7"/>
      <c r="J746" s="8"/>
      <c r="K746" s="9"/>
    </row>
    <row r="747" spans="1:11" x14ac:dyDescent="0.25">
      <c r="A747" t="str">
        <f>"00002803101"</f>
        <v>00002803101</v>
      </c>
      <c r="B747" t="s">
        <v>1045</v>
      </c>
      <c r="C747" t="s">
        <v>1047</v>
      </c>
      <c r="D747">
        <v>1</v>
      </c>
      <c r="E747" s="10" t="s">
        <v>11</v>
      </c>
      <c r="F747" s="11">
        <v>1</v>
      </c>
      <c r="G747">
        <v>1</v>
      </c>
      <c r="I747" s="12"/>
      <c r="J747" s="8"/>
      <c r="K747" s="13"/>
    </row>
    <row r="748" spans="1:11" x14ac:dyDescent="0.25">
      <c r="A748" s="3" t="str">
        <f>"40985022639"</f>
        <v>40985022639</v>
      </c>
      <c r="B748" s="3" t="s">
        <v>1048</v>
      </c>
      <c r="C748" s="3" t="s">
        <v>1049</v>
      </c>
      <c r="D748" s="3">
        <v>180</v>
      </c>
      <c r="E748" s="4"/>
      <c r="F748" s="5"/>
      <c r="G748" s="3">
        <v>180</v>
      </c>
      <c r="I748" s="7"/>
      <c r="J748" s="8"/>
      <c r="K748" s="9"/>
    </row>
    <row r="749" spans="1:11" x14ac:dyDescent="0.25">
      <c r="A749" t="str">
        <f>"00904559293"</f>
        <v>00904559293</v>
      </c>
      <c r="B749" t="s">
        <v>1048</v>
      </c>
      <c r="C749" t="s">
        <v>1050</v>
      </c>
      <c r="D749">
        <v>180</v>
      </c>
      <c r="G749">
        <v>180</v>
      </c>
      <c r="I749" s="12"/>
      <c r="J749" s="8"/>
      <c r="K749" s="13"/>
    </row>
    <row r="750" spans="1:11" x14ac:dyDescent="0.25">
      <c r="A750" s="3" t="str">
        <f>"00904529352"</f>
        <v>00904529352</v>
      </c>
      <c r="B750" s="3" t="s">
        <v>1051</v>
      </c>
      <c r="C750" s="3" t="s">
        <v>1052</v>
      </c>
      <c r="D750" s="3">
        <v>60</v>
      </c>
      <c r="E750" s="4"/>
      <c r="F750" s="5"/>
      <c r="G750" s="3">
        <v>60</v>
      </c>
      <c r="I750" s="7"/>
      <c r="J750" s="8"/>
      <c r="K750" s="9"/>
    </row>
    <row r="751" spans="1:11" x14ac:dyDescent="0.25">
      <c r="A751" t="str">
        <f>"00574006930"</f>
        <v>00574006930</v>
      </c>
      <c r="B751" t="s">
        <v>1053</v>
      </c>
      <c r="C751" t="s">
        <v>1054</v>
      </c>
      <c r="D751">
        <v>112.5</v>
      </c>
      <c r="G751">
        <v>37.5</v>
      </c>
      <c r="I751" s="12"/>
      <c r="J751" s="8"/>
      <c r="K751" s="13"/>
    </row>
    <row r="752" spans="1:11" x14ac:dyDescent="0.25">
      <c r="A752" s="3" t="str">
        <f>"68084080701"</f>
        <v>68084080701</v>
      </c>
      <c r="B752" s="3" t="s">
        <v>1055</v>
      </c>
      <c r="C752" s="3" t="s">
        <v>1056</v>
      </c>
      <c r="D752" s="3">
        <v>100</v>
      </c>
      <c r="E752" s="4" t="s">
        <v>11</v>
      </c>
      <c r="F752" s="5">
        <v>5</v>
      </c>
      <c r="G752" s="3">
        <v>100</v>
      </c>
      <c r="I752" s="7"/>
      <c r="J752" s="8"/>
      <c r="K752" s="9"/>
    </row>
    <row r="753" spans="1:11" x14ac:dyDescent="0.25">
      <c r="A753" t="str">
        <f>"65862003099"</f>
        <v>65862003099</v>
      </c>
      <c r="B753" t="s">
        <v>1055</v>
      </c>
      <c r="C753" t="s">
        <v>1057</v>
      </c>
      <c r="D753">
        <v>1000</v>
      </c>
      <c r="E753" s="10" t="s">
        <v>11</v>
      </c>
      <c r="F753" s="11">
        <v>5</v>
      </c>
      <c r="G753">
        <v>1000</v>
      </c>
      <c r="I753" s="12"/>
      <c r="J753" s="8"/>
      <c r="K753" s="13"/>
    </row>
    <row r="754" spans="1:11" x14ac:dyDescent="0.25">
      <c r="A754" s="3" t="str">
        <f>"23155005601"</f>
        <v>23155005601</v>
      </c>
      <c r="B754" s="3" t="s">
        <v>1055</v>
      </c>
      <c r="C754" s="3" t="s">
        <v>1058</v>
      </c>
      <c r="D754" s="3">
        <v>100</v>
      </c>
      <c r="E754" s="4" t="s">
        <v>11</v>
      </c>
      <c r="F754" s="5">
        <v>1.25</v>
      </c>
      <c r="G754" s="3">
        <v>100</v>
      </c>
      <c r="I754" s="7"/>
      <c r="J754" s="8"/>
      <c r="K754" s="9"/>
    </row>
    <row r="755" spans="1:11" x14ac:dyDescent="0.25">
      <c r="A755" t="str">
        <f>"23155005701"</f>
        <v>23155005701</v>
      </c>
      <c r="B755" t="s">
        <v>1055</v>
      </c>
      <c r="C755" t="s">
        <v>1059</v>
      </c>
      <c r="D755">
        <v>100</v>
      </c>
      <c r="E755" s="10" t="s">
        <v>11</v>
      </c>
      <c r="F755" s="11">
        <v>2.5</v>
      </c>
      <c r="G755">
        <v>100</v>
      </c>
      <c r="I755" s="12"/>
      <c r="J755" s="8"/>
      <c r="K755" s="13"/>
    </row>
    <row r="756" spans="1:11" x14ac:dyDescent="0.25">
      <c r="A756" s="3" t="str">
        <f>"65862002901"</f>
        <v>65862002901</v>
      </c>
      <c r="B756" s="3" t="s">
        <v>1055</v>
      </c>
      <c r="C756" s="3" t="s">
        <v>1059</v>
      </c>
      <c r="D756" s="3">
        <v>100</v>
      </c>
      <c r="E756" s="4" t="s">
        <v>11</v>
      </c>
      <c r="F756" s="5">
        <v>2.5</v>
      </c>
      <c r="G756" s="3">
        <v>100</v>
      </c>
      <c r="I756" s="7"/>
      <c r="J756" s="8"/>
      <c r="K756" s="9"/>
    </row>
    <row r="757" spans="1:11" x14ac:dyDescent="0.25">
      <c r="A757" t="str">
        <f>"51079087220"</f>
        <v>51079087220</v>
      </c>
      <c r="B757" t="s">
        <v>1055</v>
      </c>
      <c r="C757" t="s">
        <v>1060</v>
      </c>
      <c r="D757">
        <v>100</v>
      </c>
      <c r="E757" s="10" t="s">
        <v>11</v>
      </c>
      <c r="F757" s="11">
        <v>2.5</v>
      </c>
      <c r="G757">
        <v>100</v>
      </c>
      <c r="I757" s="12"/>
      <c r="J757" s="8"/>
      <c r="K757" s="13"/>
    </row>
    <row r="758" spans="1:11" x14ac:dyDescent="0.25">
      <c r="A758" s="3" t="str">
        <f>"65862003001"</f>
        <v>65862003001</v>
      </c>
      <c r="B758" s="3" t="s">
        <v>1055</v>
      </c>
      <c r="C758" s="3" t="s">
        <v>1061</v>
      </c>
      <c r="D758" s="3">
        <v>100</v>
      </c>
      <c r="E758" s="4" t="s">
        <v>11</v>
      </c>
      <c r="F758" s="5">
        <v>5</v>
      </c>
      <c r="G758" s="3">
        <v>100</v>
      </c>
      <c r="I758" s="7"/>
      <c r="J758" s="8"/>
      <c r="K758" s="9"/>
    </row>
    <row r="759" spans="1:11" x14ac:dyDescent="0.25">
      <c r="A759" t="str">
        <f>"51079087320"</f>
        <v>51079087320</v>
      </c>
      <c r="B759" t="s">
        <v>1055</v>
      </c>
      <c r="C759" t="s">
        <v>1062</v>
      </c>
      <c r="D759">
        <v>100</v>
      </c>
      <c r="E759" s="10" t="s">
        <v>11</v>
      </c>
      <c r="F759" s="11">
        <v>5</v>
      </c>
      <c r="G759">
        <v>100</v>
      </c>
      <c r="I759" s="12"/>
      <c r="J759" s="8"/>
      <c r="K759" s="13"/>
    </row>
    <row r="760" spans="1:11" x14ac:dyDescent="0.25">
      <c r="A760" s="3" t="str">
        <f>"23155005810"</f>
        <v>23155005810</v>
      </c>
      <c r="B760" s="3" t="s">
        <v>1055</v>
      </c>
      <c r="C760" s="3" t="s">
        <v>1063</v>
      </c>
      <c r="D760" s="3">
        <v>1000</v>
      </c>
      <c r="E760" s="4" t="s">
        <v>11</v>
      </c>
      <c r="F760" s="5">
        <v>5</v>
      </c>
      <c r="G760" s="3">
        <v>1000</v>
      </c>
      <c r="I760" s="7"/>
      <c r="J760" s="8"/>
      <c r="K760" s="9"/>
    </row>
    <row r="761" spans="1:11" x14ac:dyDescent="0.25">
      <c r="A761" t="str">
        <f>"00143968125"</f>
        <v>00143968125</v>
      </c>
      <c r="B761" t="s">
        <v>1064</v>
      </c>
      <c r="C761" t="s">
        <v>1065</v>
      </c>
      <c r="D761">
        <v>50</v>
      </c>
      <c r="E761" s="10" t="s">
        <v>363</v>
      </c>
      <c r="F761" s="11">
        <v>0.4</v>
      </c>
      <c r="G761">
        <v>2</v>
      </c>
      <c r="I761" s="12"/>
      <c r="J761" s="8"/>
      <c r="K761" s="13"/>
    </row>
    <row r="762" spans="1:11" x14ac:dyDescent="0.25">
      <c r="A762" s="3" t="str">
        <f>"24385047847"</f>
        <v>24385047847</v>
      </c>
      <c r="B762" s="3" t="s">
        <v>158</v>
      </c>
      <c r="C762" s="3" t="s">
        <v>1066</v>
      </c>
      <c r="D762" s="3">
        <v>150</v>
      </c>
      <c r="E762" s="4"/>
      <c r="F762" s="5"/>
      <c r="G762" s="3">
        <v>150</v>
      </c>
      <c r="I762" s="7"/>
      <c r="J762" s="8"/>
      <c r="K762" s="9"/>
    </row>
    <row r="763" spans="1:11" x14ac:dyDescent="0.25">
      <c r="A763" t="str">
        <f>"24385035640"</f>
        <v>24385035640</v>
      </c>
      <c r="B763" t="s">
        <v>1067</v>
      </c>
      <c r="C763" t="s">
        <v>1068</v>
      </c>
      <c r="D763">
        <v>12</v>
      </c>
      <c r="G763">
        <v>355</v>
      </c>
      <c r="I763" s="12"/>
      <c r="J763" s="8"/>
      <c r="K763" s="13"/>
    </row>
    <row r="764" spans="1:11" x14ac:dyDescent="0.25">
      <c r="A764" s="3" t="str">
        <f>"24385041396"</f>
        <v>24385041396</v>
      </c>
      <c r="B764" s="3" t="s">
        <v>404</v>
      </c>
      <c r="C764" s="3" t="s">
        <v>1069</v>
      </c>
      <c r="D764" s="3">
        <v>6</v>
      </c>
      <c r="E764" s="4"/>
      <c r="F764" s="5"/>
      <c r="G764" s="3">
        <v>177</v>
      </c>
      <c r="I764" s="7"/>
      <c r="J764" s="8"/>
      <c r="K764" s="9"/>
    </row>
    <row r="765" spans="1:11" x14ac:dyDescent="0.25">
      <c r="A765" t="str">
        <f>"46122024905"</f>
        <v>46122024905</v>
      </c>
      <c r="B765" t="s">
        <v>782</v>
      </c>
      <c r="C765" t="s">
        <v>1070</v>
      </c>
      <c r="D765">
        <v>0.5</v>
      </c>
      <c r="G765">
        <v>15</v>
      </c>
      <c r="I765" s="12"/>
      <c r="J765" s="8"/>
      <c r="K765" s="13"/>
    </row>
    <row r="766" spans="1:11" x14ac:dyDescent="0.25">
      <c r="A766" s="3" t="str">
        <f>"46122010346"</f>
        <v>46122010346</v>
      </c>
      <c r="B766" s="3" t="s">
        <v>1071</v>
      </c>
      <c r="C766" s="3" t="s">
        <v>1072</v>
      </c>
      <c r="D766" s="3">
        <v>2</v>
      </c>
      <c r="E766" s="4"/>
      <c r="F766" s="5"/>
      <c r="G766" s="3">
        <v>57</v>
      </c>
      <c r="I766" s="7"/>
      <c r="J766" s="8"/>
      <c r="K766" s="9"/>
    </row>
    <row r="767" spans="1:11" x14ac:dyDescent="0.25">
      <c r="A767" t="str">
        <f>"24385011603"</f>
        <v>24385011603</v>
      </c>
      <c r="B767" t="s">
        <v>1073</v>
      </c>
      <c r="C767" t="s">
        <v>1074</v>
      </c>
      <c r="D767">
        <v>4</v>
      </c>
      <c r="G767">
        <v>118</v>
      </c>
      <c r="I767" s="12"/>
      <c r="J767" s="8"/>
      <c r="K767" s="13"/>
    </row>
    <row r="768" spans="1:11" x14ac:dyDescent="0.25">
      <c r="A768" s="3" t="str">
        <f>"24385047152"</f>
        <v>24385047152</v>
      </c>
      <c r="B768" s="3" t="s">
        <v>1075</v>
      </c>
      <c r="C768" s="3" t="s">
        <v>1076</v>
      </c>
      <c r="D768" s="3">
        <v>10</v>
      </c>
      <c r="E768" s="4"/>
      <c r="F768" s="5"/>
      <c r="G768" s="3">
        <v>10</v>
      </c>
      <c r="I768" s="7"/>
      <c r="J768" s="8"/>
      <c r="K768" s="9"/>
    </row>
    <row r="769" spans="1:11" x14ac:dyDescent="0.25">
      <c r="A769" t="str">
        <f>"46122015754"</f>
        <v>46122015754</v>
      </c>
      <c r="B769" t="s">
        <v>1077</v>
      </c>
      <c r="C769" t="s">
        <v>1078</v>
      </c>
      <c r="D769">
        <v>3.53</v>
      </c>
      <c r="G769">
        <v>100</v>
      </c>
      <c r="I769" s="12"/>
      <c r="J769" s="8"/>
      <c r="K769" s="13"/>
    </row>
    <row r="770" spans="1:11" x14ac:dyDescent="0.25">
      <c r="A770" s="3" t="str">
        <f>"24385060389"</f>
        <v>24385060389</v>
      </c>
      <c r="B770" s="3" t="s">
        <v>1079</v>
      </c>
      <c r="C770" s="3" t="s">
        <v>1080</v>
      </c>
      <c r="D770" s="3">
        <v>18</v>
      </c>
      <c r="E770" s="4"/>
      <c r="F770" s="5"/>
      <c r="G770" s="3">
        <v>18</v>
      </c>
      <c r="I770" s="7"/>
      <c r="J770" s="8"/>
      <c r="K770" s="9"/>
    </row>
    <row r="771" spans="1:11" x14ac:dyDescent="0.25">
      <c r="A771" t="str">
        <f>"46122016660"</f>
        <v>46122016660</v>
      </c>
      <c r="B771" t="s">
        <v>1081</v>
      </c>
      <c r="C771" t="s">
        <v>1082</v>
      </c>
      <c r="D771">
        <v>20</v>
      </c>
      <c r="G771">
        <v>20</v>
      </c>
      <c r="I771" s="12"/>
      <c r="J771" s="8"/>
      <c r="K771" s="13"/>
    </row>
    <row r="772" spans="1:11" x14ac:dyDescent="0.25">
      <c r="A772" s="3" t="str">
        <f>"24385030226"</f>
        <v>24385030226</v>
      </c>
      <c r="B772" s="3" t="s">
        <v>334</v>
      </c>
      <c r="C772" s="3" t="s">
        <v>1083</v>
      </c>
      <c r="D772" s="3">
        <v>4</v>
      </c>
      <c r="E772" s="4"/>
      <c r="F772" s="5"/>
      <c r="G772" s="3">
        <v>118</v>
      </c>
      <c r="I772" s="7"/>
      <c r="J772" s="8"/>
      <c r="K772" s="9"/>
    </row>
    <row r="773" spans="1:11" x14ac:dyDescent="0.25">
      <c r="A773" t="str">
        <f>"46122034478"</f>
        <v>46122034478</v>
      </c>
      <c r="B773" t="s">
        <v>1084</v>
      </c>
      <c r="C773" t="s">
        <v>1085</v>
      </c>
      <c r="D773">
        <v>100</v>
      </c>
      <c r="G773">
        <v>100</v>
      </c>
      <c r="I773" s="12"/>
      <c r="J773" s="8"/>
      <c r="K773" s="13"/>
    </row>
    <row r="774" spans="1:11" x14ac:dyDescent="0.25">
      <c r="A774" s="3" t="str">
        <f>"24385046843"</f>
        <v>24385046843</v>
      </c>
      <c r="B774" s="3" t="s">
        <v>717</v>
      </c>
      <c r="C774" s="3" t="s">
        <v>1086</v>
      </c>
      <c r="D774" s="3">
        <v>16</v>
      </c>
      <c r="E774" s="4"/>
      <c r="F774" s="5"/>
      <c r="G774" s="3">
        <v>473</v>
      </c>
      <c r="I774" s="7"/>
      <c r="J774" s="8"/>
      <c r="K774" s="9"/>
    </row>
    <row r="775" spans="1:11" x14ac:dyDescent="0.25">
      <c r="A775" t="str">
        <f>"24385052403"</f>
        <v>24385052403</v>
      </c>
      <c r="B775" t="s">
        <v>1087</v>
      </c>
      <c r="C775" t="s">
        <v>1088</v>
      </c>
      <c r="D775">
        <v>30</v>
      </c>
      <c r="G775">
        <v>28.4</v>
      </c>
      <c r="I775" s="12"/>
      <c r="J775" s="8"/>
      <c r="K775" s="13"/>
    </row>
    <row r="776" spans="1:11" x14ac:dyDescent="0.25">
      <c r="A776" s="3" t="str">
        <f>"00378116001"</f>
        <v>00378116001</v>
      </c>
      <c r="B776" s="3" t="s">
        <v>1089</v>
      </c>
      <c r="C776" s="3" t="s">
        <v>1090</v>
      </c>
      <c r="D776" s="3">
        <v>100</v>
      </c>
      <c r="E776" s="4" t="s">
        <v>11</v>
      </c>
      <c r="F776" s="5">
        <v>1</v>
      </c>
      <c r="G776" s="3">
        <v>100</v>
      </c>
      <c r="I776" s="7"/>
      <c r="J776" s="8"/>
      <c r="K776" s="9"/>
    </row>
    <row r="777" spans="1:11" x14ac:dyDescent="0.25">
      <c r="A777" t="str">
        <f>"65162071110"</f>
        <v>65162071110</v>
      </c>
      <c r="B777" t="s">
        <v>1089</v>
      </c>
      <c r="C777" t="s">
        <v>1090</v>
      </c>
      <c r="D777">
        <v>100</v>
      </c>
      <c r="E777" s="10" t="s">
        <v>11</v>
      </c>
      <c r="F777" s="11">
        <v>1</v>
      </c>
      <c r="G777">
        <v>100</v>
      </c>
      <c r="I777" s="12"/>
      <c r="J777" s="8"/>
      <c r="K777" s="13"/>
    </row>
    <row r="778" spans="1:11" x14ac:dyDescent="0.25">
      <c r="A778" s="3" t="str">
        <f>"00378119001"</f>
        <v>00378119001</v>
      </c>
      <c r="B778" s="3" t="s">
        <v>1089</v>
      </c>
      <c r="C778" s="3" t="s">
        <v>1091</v>
      </c>
      <c r="D778" s="3">
        <v>100</v>
      </c>
      <c r="E778" s="4" t="s">
        <v>11</v>
      </c>
      <c r="F778" s="5">
        <v>2</v>
      </c>
      <c r="G778" s="3">
        <v>100</v>
      </c>
      <c r="I778" s="7"/>
      <c r="J778" s="8"/>
      <c r="K778" s="9"/>
    </row>
    <row r="779" spans="1:11" x14ac:dyDescent="0.25">
      <c r="A779" t="str">
        <f>"65162071310"</f>
        <v>65162071310</v>
      </c>
      <c r="B779" t="s">
        <v>1089</v>
      </c>
      <c r="C779" t="s">
        <v>1091</v>
      </c>
      <c r="D779">
        <v>100</v>
      </c>
      <c r="E779" s="10" t="s">
        <v>11</v>
      </c>
      <c r="F779" s="11">
        <v>2</v>
      </c>
      <c r="G779">
        <v>100</v>
      </c>
      <c r="I779" s="12"/>
      <c r="J779" s="8"/>
      <c r="K779" s="13"/>
    </row>
    <row r="780" spans="1:11" x14ac:dyDescent="0.25">
      <c r="A780" s="3" t="str">
        <f>"00168035550"</f>
        <v>00168035550</v>
      </c>
      <c r="B780" s="3" t="s">
        <v>1092</v>
      </c>
      <c r="C780" s="3" t="s">
        <v>1093</v>
      </c>
      <c r="D780" s="3">
        <v>50</v>
      </c>
      <c r="E780" s="4" t="s">
        <v>1094</v>
      </c>
      <c r="F780" s="5">
        <v>0.05</v>
      </c>
      <c r="G780" s="3">
        <v>50</v>
      </c>
      <c r="I780" s="7"/>
      <c r="J780" s="8"/>
      <c r="K780" s="9"/>
    </row>
    <row r="781" spans="1:11" x14ac:dyDescent="0.25">
      <c r="A781" t="str">
        <f>"10631009420"</f>
        <v>10631009420</v>
      </c>
      <c r="B781" t="s">
        <v>1095</v>
      </c>
      <c r="C781" t="s">
        <v>1096</v>
      </c>
      <c r="D781">
        <v>30</v>
      </c>
      <c r="E781" s="10" t="s">
        <v>43</v>
      </c>
      <c r="F781" s="11">
        <v>0.1</v>
      </c>
      <c r="G781">
        <v>30</v>
      </c>
      <c r="I781" s="12"/>
      <c r="J781" s="8"/>
      <c r="K781" s="13"/>
    </row>
    <row r="782" spans="1:11" x14ac:dyDescent="0.25">
      <c r="A782" s="3" t="str">
        <f>"10631009430"</f>
        <v>10631009430</v>
      </c>
      <c r="B782" s="3" t="s">
        <v>1095</v>
      </c>
      <c r="C782" s="3" t="s">
        <v>1097</v>
      </c>
      <c r="D782" s="3">
        <v>60</v>
      </c>
      <c r="E782" s="4" t="s">
        <v>43</v>
      </c>
      <c r="F782" s="5">
        <v>0.1</v>
      </c>
      <c r="G782" s="3">
        <v>60</v>
      </c>
      <c r="I782" s="7"/>
      <c r="J782" s="8"/>
      <c r="K782" s="9"/>
    </row>
    <row r="783" spans="1:11" x14ac:dyDescent="0.25">
      <c r="A783" t="str">
        <f>"51079073320"</f>
        <v>51079073320</v>
      </c>
      <c r="B783" t="s">
        <v>1098</v>
      </c>
      <c r="C783" t="s">
        <v>1099</v>
      </c>
      <c r="D783">
        <v>100</v>
      </c>
      <c r="E783" s="10" t="s">
        <v>11</v>
      </c>
      <c r="F783" s="11">
        <v>0.5</v>
      </c>
      <c r="G783">
        <v>100</v>
      </c>
      <c r="I783" s="12"/>
      <c r="J783" s="8"/>
      <c r="K783" s="13"/>
    </row>
    <row r="784" spans="1:11" x14ac:dyDescent="0.25">
      <c r="A784" s="3" t="str">
        <f>"00378025701"</f>
        <v>00378025701</v>
      </c>
      <c r="B784" s="3" t="s">
        <v>1098</v>
      </c>
      <c r="C784" s="3" t="s">
        <v>1100</v>
      </c>
      <c r="D784" s="3">
        <v>100</v>
      </c>
      <c r="E784" s="4" t="s">
        <v>11</v>
      </c>
      <c r="F784" s="5">
        <v>1</v>
      </c>
      <c r="G784" s="3">
        <v>100</v>
      </c>
      <c r="I784" s="7"/>
      <c r="J784" s="8"/>
      <c r="K784" s="9"/>
    </row>
    <row r="785" spans="1:11" x14ac:dyDescent="0.25">
      <c r="A785" t="str">
        <f>"51079073420"</f>
        <v>51079073420</v>
      </c>
      <c r="B785" t="s">
        <v>1098</v>
      </c>
      <c r="C785" t="s">
        <v>1101</v>
      </c>
      <c r="D785">
        <v>100</v>
      </c>
      <c r="E785" s="10" t="s">
        <v>11</v>
      </c>
      <c r="F785" s="11">
        <v>1</v>
      </c>
      <c r="G785">
        <v>100</v>
      </c>
      <c r="I785" s="12"/>
      <c r="J785" s="8"/>
      <c r="K785" s="13"/>
    </row>
    <row r="786" spans="1:11" x14ac:dyDescent="0.25">
      <c r="A786" s="3" t="str">
        <f>"68382008001"</f>
        <v>68382008001</v>
      </c>
      <c r="B786" s="3" t="s">
        <v>1098</v>
      </c>
      <c r="C786" s="3" t="s">
        <v>1102</v>
      </c>
      <c r="D786" s="3">
        <v>100</v>
      </c>
      <c r="E786" s="4" t="s">
        <v>11</v>
      </c>
      <c r="F786" s="5">
        <v>10</v>
      </c>
      <c r="G786" s="3">
        <v>100</v>
      </c>
      <c r="I786" s="7"/>
      <c r="J786" s="8"/>
      <c r="K786" s="9"/>
    </row>
    <row r="787" spans="1:11" x14ac:dyDescent="0.25">
      <c r="A787" t="str">
        <f>"68084024901"</f>
        <v>68084024901</v>
      </c>
      <c r="B787" t="s">
        <v>1098</v>
      </c>
      <c r="C787" t="s">
        <v>1103</v>
      </c>
      <c r="D787">
        <v>100</v>
      </c>
      <c r="E787" s="10" t="s">
        <v>11</v>
      </c>
      <c r="F787" s="11">
        <v>10</v>
      </c>
      <c r="G787">
        <v>100</v>
      </c>
      <c r="I787" s="12"/>
      <c r="J787" s="8"/>
      <c r="K787" s="13"/>
    </row>
    <row r="788" spans="1:11" x14ac:dyDescent="0.25">
      <c r="A788" s="3" t="str">
        <f>"00378021401"</f>
        <v>00378021401</v>
      </c>
      <c r="B788" s="3" t="s">
        <v>1098</v>
      </c>
      <c r="C788" s="3" t="s">
        <v>1104</v>
      </c>
      <c r="D788" s="3">
        <v>100</v>
      </c>
      <c r="E788" s="4" t="s">
        <v>11</v>
      </c>
      <c r="F788" s="5">
        <v>2</v>
      </c>
      <c r="G788" s="3">
        <v>100</v>
      </c>
      <c r="I788" s="7"/>
      <c r="J788" s="8"/>
      <c r="K788" s="9"/>
    </row>
    <row r="789" spans="1:11" x14ac:dyDescent="0.25">
      <c r="A789" t="str">
        <f>"68382008101"</f>
        <v>68382008101</v>
      </c>
      <c r="B789" t="s">
        <v>1098</v>
      </c>
      <c r="C789" t="s">
        <v>1105</v>
      </c>
      <c r="D789">
        <v>100</v>
      </c>
      <c r="E789" s="10" t="s">
        <v>11</v>
      </c>
      <c r="F789" s="11">
        <v>20</v>
      </c>
      <c r="G789">
        <v>100</v>
      </c>
      <c r="I789" s="12"/>
      <c r="J789" s="8"/>
      <c r="K789" s="13"/>
    </row>
    <row r="790" spans="1:11" x14ac:dyDescent="0.25">
      <c r="A790" s="3" t="str">
        <f>"00781139613"</f>
        <v>00781139613</v>
      </c>
      <c r="B790" s="3" t="s">
        <v>1098</v>
      </c>
      <c r="C790" s="3" t="s">
        <v>1106</v>
      </c>
      <c r="D790" s="3">
        <v>100</v>
      </c>
      <c r="E790" s="4" t="s">
        <v>11</v>
      </c>
      <c r="F790" s="5">
        <v>5</v>
      </c>
      <c r="G790" s="3">
        <v>100</v>
      </c>
      <c r="I790" s="7"/>
      <c r="J790" s="8"/>
      <c r="K790" s="9"/>
    </row>
    <row r="791" spans="1:11" x14ac:dyDescent="0.25">
      <c r="A791" t="str">
        <f>"68382007910"</f>
        <v>68382007910</v>
      </c>
      <c r="B791" t="s">
        <v>1098</v>
      </c>
      <c r="C791" t="s">
        <v>1107</v>
      </c>
      <c r="D791">
        <v>1000</v>
      </c>
      <c r="E791" s="10" t="s">
        <v>11</v>
      </c>
      <c r="F791" s="11">
        <v>5</v>
      </c>
      <c r="G791">
        <v>1000</v>
      </c>
      <c r="I791" s="12"/>
      <c r="J791" s="8"/>
      <c r="K791" s="13"/>
    </row>
    <row r="792" spans="1:11" x14ac:dyDescent="0.25">
      <c r="A792" s="3" t="str">
        <f>"63323047101"</f>
        <v>63323047101</v>
      </c>
      <c r="B792" s="3" t="s">
        <v>1108</v>
      </c>
      <c r="C792" s="3" t="s">
        <v>1109</v>
      </c>
      <c r="D792" s="3">
        <v>1</v>
      </c>
      <c r="E792" s="4" t="s">
        <v>20</v>
      </c>
      <c r="F792" s="5">
        <v>100</v>
      </c>
      <c r="G792" s="3">
        <v>1</v>
      </c>
      <c r="I792" s="7"/>
      <c r="J792" s="8"/>
      <c r="K792" s="9"/>
    </row>
    <row r="793" spans="1:11" x14ac:dyDescent="0.25">
      <c r="A793" t="str">
        <f>"63323046905"</f>
        <v>63323046905</v>
      </c>
      <c r="B793" t="s">
        <v>1108</v>
      </c>
      <c r="C793" t="s">
        <v>1110</v>
      </c>
      <c r="D793">
        <v>5</v>
      </c>
      <c r="E793" s="10" t="s">
        <v>20</v>
      </c>
      <c r="F793" s="11">
        <v>50</v>
      </c>
      <c r="G793">
        <v>5</v>
      </c>
      <c r="I793" s="12"/>
      <c r="J793" s="8"/>
      <c r="K793" s="13"/>
    </row>
    <row r="794" spans="1:11" x14ac:dyDescent="0.25">
      <c r="A794" s="3" t="str">
        <f>"67457041013"</f>
        <v>67457041013</v>
      </c>
      <c r="B794" s="3" t="s">
        <v>1108</v>
      </c>
      <c r="C794" s="3" t="s">
        <v>1111</v>
      </c>
      <c r="D794" s="3">
        <v>10</v>
      </c>
      <c r="E794" s="4" t="s">
        <v>955</v>
      </c>
      <c r="F794" s="5">
        <v>50</v>
      </c>
      <c r="G794" s="3">
        <v>1</v>
      </c>
      <c r="I794" s="7"/>
      <c r="J794" s="8"/>
      <c r="K794" s="9"/>
    </row>
    <row r="795" spans="1:11" x14ac:dyDescent="0.25">
      <c r="A795" t="str">
        <f>"63323046901"</f>
        <v>63323046901</v>
      </c>
      <c r="B795" t="s">
        <v>1108</v>
      </c>
      <c r="C795" t="s">
        <v>1112</v>
      </c>
      <c r="D795">
        <v>1</v>
      </c>
      <c r="E795" s="10" t="s">
        <v>20</v>
      </c>
      <c r="F795" s="11">
        <v>50</v>
      </c>
      <c r="G795">
        <v>1</v>
      </c>
      <c r="I795" s="12"/>
      <c r="J795" s="8"/>
      <c r="K795" s="13"/>
    </row>
    <row r="796" spans="1:11" x14ac:dyDescent="0.25">
      <c r="A796" s="3" t="str">
        <f>"00121058104"</f>
        <v>00121058104</v>
      </c>
      <c r="B796" s="3" t="s">
        <v>1113</v>
      </c>
      <c r="C796" s="3" t="s">
        <v>1114</v>
      </c>
      <c r="D796" s="3">
        <v>4</v>
      </c>
      <c r="E796" s="4" t="s">
        <v>20</v>
      </c>
      <c r="F796" s="5">
        <v>2</v>
      </c>
      <c r="G796" s="3">
        <v>120</v>
      </c>
      <c r="I796" s="7"/>
      <c r="J796" s="8"/>
      <c r="K796" s="9"/>
    </row>
    <row r="797" spans="1:11" x14ac:dyDescent="0.25">
      <c r="A797" t="str">
        <f>"54838050140"</f>
        <v>54838050140</v>
      </c>
      <c r="B797" t="s">
        <v>1113</v>
      </c>
      <c r="C797" t="s">
        <v>1114</v>
      </c>
      <c r="D797">
        <v>4</v>
      </c>
      <c r="E797" s="10" t="s">
        <v>20</v>
      </c>
      <c r="F797" s="11">
        <v>2</v>
      </c>
      <c r="G797">
        <v>120</v>
      </c>
      <c r="I797" s="12"/>
      <c r="J797" s="8"/>
      <c r="K797" s="13"/>
    </row>
    <row r="798" spans="1:11" x14ac:dyDescent="0.25">
      <c r="A798" s="3" t="str">
        <f>"10147091101"</f>
        <v>10147091101</v>
      </c>
      <c r="B798" s="3" t="s">
        <v>1113</v>
      </c>
      <c r="C798" s="3" t="s">
        <v>1115</v>
      </c>
      <c r="D798" s="3">
        <v>10</v>
      </c>
      <c r="E798" s="4" t="s">
        <v>20</v>
      </c>
      <c r="F798" s="5">
        <v>5</v>
      </c>
      <c r="G798" s="3">
        <v>1</v>
      </c>
      <c r="I798" s="7"/>
      <c r="J798" s="8"/>
      <c r="K798" s="9"/>
    </row>
    <row r="799" spans="1:11" x14ac:dyDescent="0.25">
      <c r="A799" t="str">
        <f>"61958180101"</f>
        <v>61958180101</v>
      </c>
      <c r="B799" t="s">
        <v>1116</v>
      </c>
      <c r="C799" t="s">
        <v>1117</v>
      </c>
      <c r="D799">
        <v>28</v>
      </c>
      <c r="E799" s="10" t="s">
        <v>1118</v>
      </c>
      <c r="F799" s="11" t="s">
        <v>1119</v>
      </c>
      <c r="G799">
        <v>28</v>
      </c>
      <c r="I799" s="12"/>
      <c r="J799" s="8"/>
      <c r="K799" s="13"/>
    </row>
    <row r="800" spans="1:11" x14ac:dyDescent="0.25">
      <c r="A800" s="3" t="str">
        <f>"58160082611"</f>
        <v>58160082611</v>
      </c>
      <c r="B800" s="3" t="s">
        <v>1120</v>
      </c>
      <c r="C800" s="3" t="s">
        <v>1121</v>
      </c>
      <c r="D800" s="3">
        <v>10</v>
      </c>
      <c r="E800" s="4" t="s">
        <v>1122</v>
      </c>
      <c r="F800" s="5">
        <v>1440</v>
      </c>
      <c r="G800" s="3">
        <v>1</v>
      </c>
      <c r="I800" s="7"/>
      <c r="J800" s="8"/>
      <c r="K800" s="9"/>
    </row>
    <row r="801" spans="1:11" x14ac:dyDescent="0.25">
      <c r="A801" t="str">
        <f>"54162000401"</f>
        <v>54162000401</v>
      </c>
      <c r="B801" t="s">
        <v>1123</v>
      </c>
      <c r="C801" t="s">
        <v>1124</v>
      </c>
      <c r="D801">
        <v>100</v>
      </c>
      <c r="E801" s="10" t="s">
        <v>1125</v>
      </c>
      <c r="F801" s="11" t="s">
        <v>1126</v>
      </c>
      <c r="G801">
        <v>100</v>
      </c>
      <c r="I801" s="12"/>
      <c r="J801" s="8"/>
      <c r="K801" s="13"/>
    </row>
    <row r="802" spans="1:11" x14ac:dyDescent="0.25">
      <c r="A802" s="3" t="str">
        <f>"00536138912"</f>
        <v>00536138912</v>
      </c>
      <c r="B802" s="3" t="s">
        <v>1079</v>
      </c>
      <c r="C802" s="3" t="s">
        <v>1127</v>
      </c>
      <c r="D802" s="3">
        <v>12</v>
      </c>
      <c r="E802" s="4"/>
      <c r="F802" s="5"/>
      <c r="G802" s="3">
        <v>12</v>
      </c>
      <c r="I802" s="7"/>
      <c r="J802" s="8"/>
      <c r="K802" s="9"/>
    </row>
    <row r="803" spans="1:11" x14ac:dyDescent="0.25">
      <c r="A803" t="str">
        <f>"63323054505"</f>
        <v>63323054505</v>
      </c>
      <c r="B803" t="s">
        <v>1128</v>
      </c>
      <c r="C803" t="s">
        <v>1129</v>
      </c>
      <c r="D803">
        <v>125</v>
      </c>
      <c r="E803" s="10" t="s">
        <v>1122</v>
      </c>
      <c r="F803" s="11">
        <v>100</v>
      </c>
      <c r="G803">
        <v>5</v>
      </c>
      <c r="I803" s="12"/>
      <c r="J803" s="8"/>
      <c r="K803" s="13"/>
    </row>
    <row r="804" spans="1:11" x14ac:dyDescent="0.25">
      <c r="A804" s="3" t="str">
        <f>"00409272101"</f>
        <v>00409272101</v>
      </c>
      <c r="B804" s="3" t="s">
        <v>1128</v>
      </c>
      <c r="C804" s="3" t="s">
        <v>1130</v>
      </c>
      <c r="D804" s="3">
        <v>25</v>
      </c>
      <c r="E804" s="4" t="s">
        <v>1131</v>
      </c>
      <c r="F804" s="5" t="s">
        <v>1132</v>
      </c>
      <c r="G804" s="3">
        <v>1</v>
      </c>
      <c r="I804" s="7"/>
      <c r="J804" s="8"/>
      <c r="K804" s="9"/>
    </row>
    <row r="805" spans="1:11" x14ac:dyDescent="0.25">
      <c r="A805" t="str">
        <f>"25021040201"</f>
        <v>25021040201</v>
      </c>
      <c r="B805" t="s">
        <v>1128</v>
      </c>
      <c r="C805" t="s">
        <v>1133</v>
      </c>
      <c r="D805">
        <v>25</v>
      </c>
      <c r="E805" s="10" t="s">
        <v>1122</v>
      </c>
      <c r="F805" s="11" t="s">
        <v>1134</v>
      </c>
      <c r="G805">
        <v>1</v>
      </c>
      <c r="I805" s="12"/>
      <c r="J805" s="8"/>
      <c r="K805" s="13"/>
    </row>
    <row r="806" spans="1:11" x14ac:dyDescent="0.25">
      <c r="A806" s="3" t="str">
        <f>"63323054031"</f>
        <v>63323054031</v>
      </c>
      <c r="B806" s="3" t="s">
        <v>1128</v>
      </c>
      <c r="C806" s="3" t="s">
        <v>1135</v>
      </c>
      <c r="D806" s="3">
        <v>750</v>
      </c>
      <c r="E806" s="4" t="s">
        <v>1122</v>
      </c>
      <c r="F806" s="5" t="s">
        <v>1136</v>
      </c>
      <c r="G806" s="3">
        <v>30</v>
      </c>
      <c r="I806" s="7"/>
      <c r="J806" s="8"/>
      <c r="K806" s="9"/>
    </row>
    <row r="807" spans="1:11" x14ac:dyDescent="0.25">
      <c r="A807" t="str">
        <f>"25021040001"</f>
        <v>25021040001</v>
      </c>
      <c r="B807" t="s">
        <v>1128</v>
      </c>
      <c r="C807" t="s">
        <v>1137</v>
      </c>
      <c r="D807">
        <v>25</v>
      </c>
      <c r="E807" s="10" t="s">
        <v>1122</v>
      </c>
      <c r="F807" s="11" t="s">
        <v>1136</v>
      </c>
      <c r="G807">
        <v>1</v>
      </c>
      <c r="I807" s="12"/>
      <c r="J807" s="8"/>
      <c r="K807" s="13"/>
    </row>
    <row r="808" spans="1:11" x14ac:dyDescent="0.25">
      <c r="A808" s="3" t="str">
        <f>"54799043105"</f>
        <v>54799043105</v>
      </c>
      <c r="B808" s="3" t="s">
        <v>1138</v>
      </c>
      <c r="C808" s="3" t="s">
        <v>1139</v>
      </c>
      <c r="D808" s="3">
        <v>5</v>
      </c>
      <c r="E808" s="4" t="s">
        <v>43</v>
      </c>
      <c r="F808" s="5">
        <v>5</v>
      </c>
      <c r="G808" s="3">
        <v>5</v>
      </c>
      <c r="I808" s="7"/>
      <c r="J808" s="8"/>
      <c r="K808" s="9"/>
    </row>
    <row r="809" spans="1:11" x14ac:dyDescent="0.25">
      <c r="A809" t="str">
        <f>"00002751001"</f>
        <v>00002751001</v>
      </c>
      <c r="B809" t="s">
        <v>1140</v>
      </c>
      <c r="C809" t="s">
        <v>1141</v>
      </c>
      <c r="D809">
        <v>10</v>
      </c>
      <c r="E809" s="10" t="s">
        <v>1122</v>
      </c>
      <c r="F809" s="11">
        <v>100</v>
      </c>
      <c r="G809">
        <v>10</v>
      </c>
      <c r="I809" s="12"/>
      <c r="J809" s="8"/>
      <c r="K809" s="13"/>
    </row>
    <row r="810" spans="1:11" x14ac:dyDescent="0.25">
      <c r="A810" s="3" t="str">
        <f>"00002751101"</f>
        <v>00002751101</v>
      </c>
      <c r="B810" s="3" t="s">
        <v>1142</v>
      </c>
      <c r="C810" s="3" t="s">
        <v>1143</v>
      </c>
      <c r="D810" s="3">
        <v>10</v>
      </c>
      <c r="E810" s="4" t="s">
        <v>1144</v>
      </c>
      <c r="F810" s="5" t="s">
        <v>1145</v>
      </c>
      <c r="G810" s="3">
        <v>10</v>
      </c>
      <c r="I810" s="7"/>
      <c r="J810" s="8"/>
      <c r="K810" s="9"/>
    </row>
    <row r="811" spans="1:11" x14ac:dyDescent="0.25">
      <c r="A811" t="str">
        <f>"00002751017"</f>
        <v>00002751017</v>
      </c>
      <c r="B811" t="s">
        <v>1140</v>
      </c>
      <c r="C811" t="s">
        <v>1146</v>
      </c>
      <c r="D811">
        <v>3</v>
      </c>
      <c r="G811">
        <v>3</v>
      </c>
      <c r="I811" s="12"/>
      <c r="J811" s="8"/>
      <c r="K811" s="13"/>
    </row>
    <row r="812" spans="1:11" x14ac:dyDescent="0.25">
      <c r="A812" s="3" t="str">
        <f>"00074379902"</f>
        <v>00074379902</v>
      </c>
      <c r="B812" s="3" t="s">
        <v>1147</v>
      </c>
      <c r="C812" s="3" t="s">
        <v>1148</v>
      </c>
      <c r="D812" s="3">
        <v>1.6</v>
      </c>
      <c r="E812" s="4" t="s">
        <v>11</v>
      </c>
      <c r="F812" s="5">
        <v>40</v>
      </c>
      <c r="G812" s="3">
        <v>2</v>
      </c>
      <c r="I812" s="7"/>
      <c r="J812" s="8"/>
      <c r="K812" s="9"/>
    </row>
    <row r="813" spans="1:11" x14ac:dyDescent="0.25">
      <c r="A813" t="str">
        <f>"50111039801"</f>
        <v>50111039801</v>
      </c>
      <c r="B813" t="s">
        <v>1149</v>
      </c>
      <c r="C813" t="s">
        <v>1150</v>
      </c>
      <c r="D813">
        <v>100</v>
      </c>
      <c r="E813" s="10" t="s">
        <v>11</v>
      </c>
      <c r="F813" s="11">
        <v>10</v>
      </c>
      <c r="G813">
        <v>100</v>
      </c>
      <c r="I813" s="12"/>
      <c r="J813" s="8"/>
      <c r="K813" s="13"/>
    </row>
    <row r="814" spans="1:11" x14ac:dyDescent="0.25">
      <c r="A814" s="3" t="str">
        <f>"50111039701"</f>
        <v>50111039701</v>
      </c>
      <c r="B814" s="3" t="s">
        <v>1149</v>
      </c>
      <c r="C814" s="3" t="s">
        <v>1151</v>
      </c>
      <c r="D814" s="3">
        <v>100</v>
      </c>
      <c r="E814" s="4" t="s">
        <v>11</v>
      </c>
      <c r="F814" s="5">
        <v>100</v>
      </c>
      <c r="G814" s="3">
        <v>100</v>
      </c>
      <c r="I814" s="7"/>
      <c r="J814" s="8"/>
      <c r="K814" s="9"/>
    </row>
    <row r="815" spans="1:11" x14ac:dyDescent="0.25">
      <c r="A815" t="str">
        <f>"50111032701"</f>
        <v>50111032701</v>
      </c>
      <c r="B815" t="s">
        <v>1149</v>
      </c>
      <c r="C815" t="s">
        <v>1152</v>
      </c>
      <c r="D815">
        <v>100</v>
      </c>
      <c r="E815" s="10" t="s">
        <v>11</v>
      </c>
      <c r="F815" s="11">
        <v>25</v>
      </c>
      <c r="G815">
        <v>100</v>
      </c>
      <c r="I815" s="12"/>
      <c r="J815" s="8"/>
      <c r="K815" s="13"/>
    </row>
    <row r="816" spans="1:11" x14ac:dyDescent="0.25">
      <c r="A816" s="3" t="str">
        <f>"50111032703"</f>
        <v>50111032703</v>
      </c>
      <c r="B816" s="3" t="s">
        <v>1149</v>
      </c>
      <c r="C816" s="3" t="s">
        <v>1153</v>
      </c>
      <c r="D816" s="3">
        <v>1000</v>
      </c>
      <c r="E816" s="4" t="s">
        <v>11</v>
      </c>
      <c r="F816" s="5">
        <v>25</v>
      </c>
      <c r="G816" s="3">
        <v>1000</v>
      </c>
      <c r="I816" s="7"/>
      <c r="J816" s="8"/>
      <c r="K816" s="9"/>
    </row>
    <row r="817" spans="1:11" x14ac:dyDescent="0.25">
      <c r="A817" t="str">
        <f>"50111032803"</f>
        <v>50111032803</v>
      </c>
      <c r="B817" t="s">
        <v>1149</v>
      </c>
      <c r="C817" t="s">
        <v>1154</v>
      </c>
      <c r="D817">
        <v>1000</v>
      </c>
      <c r="E817" s="10" t="s">
        <v>11</v>
      </c>
      <c r="F817" s="11">
        <v>50</v>
      </c>
      <c r="G817">
        <v>1000</v>
      </c>
      <c r="I817" s="12"/>
      <c r="J817" s="8"/>
      <c r="K817" s="13"/>
    </row>
    <row r="818" spans="1:11" x14ac:dyDescent="0.25">
      <c r="A818" s="3" t="str">
        <f>"54162060002"</f>
        <v>54162060002</v>
      </c>
      <c r="B818" s="3" t="s">
        <v>1155</v>
      </c>
      <c r="C818" s="3" t="s">
        <v>1156</v>
      </c>
      <c r="D818" s="3">
        <v>4</v>
      </c>
      <c r="E818" s="4"/>
      <c r="F818" s="5"/>
      <c r="G818" s="3">
        <v>113</v>
      </c>
      <c r="I818" s="7"/>
      <c r="J818" s="8"/>
      <c r="K818" s="9"/>
    </row>
    <row r="819" spans="1:11" x14ac:dyDescent="0.25">
      <c r="A819" t="str">
        <f>"57237000201"</f>
        <v>57237000201</v>
      </c>
      <c r="B819" t="s">
        <v>1157</v>
      </c>
      <c r="C819" t="s">
        <v>1158</v>
      </c>
      <c r="D819">
        <v>100</v>
      </c>
      <c r="E819" s="10" t="s">
        <v>11</v>
      </c>
      <c r="F819" s="11">
        <v>12.5</v>
      </c>
      <c r="G819">
        <v>100</v>
      </c>
      <c r="I819" s="12"/>
      <c r="J819" s="8"/>
      <c r="K819" s="13"/>
    </row>
    <row r="820" spans="1:11" x14ac:dyDescent="0.25">
      <c r="A820" s="3" t="str">
        <f>"57237000299"</f>
        <v>57237000299</v>
      </c>
      <c r="B820" s="3" t="s">
        <v>1157</v>
      </c>
      <c r="C820" s="3" t="s">
        <v>1159</v>
      </c>
      <c r="D820" s="3">
        <v>1000</v>
      </c>
      <c r="E820" s="4" t="s">
        <v>11</v>
      </c>
      <c r="F820" s="5">
        <v>12.5</v>
      </c>
      <c r="G820" s="3">
        <v>1000</v>
      </c>
      <c r="I820" s="7"/>
      <c r="J820" s="8"/>
      <c r="K820" s="9"/>
    </row>
    <row r="821" spans="1:11" x14ac:dyDescent="0.25">
      <c r="A821" t="str">
        <f>"00172208360"</f>
        <v>00172208360</v>
      </c>
      <c r="B821" t="s">
        <v>1157</v>
      </c>
      <c r="C821" t="s">
        <v>1160</v>
      </c>
      <c r="D821">
        <v>100</v>
      </c>
      <c r="E821" s="10" t="s">
        <v>11</v>
      </c>
      <c r="F821" s="11">
        <v>25</v>
      </c>
      <c r="G821">
        <v>100</v>
      </c>
      <c r="I821" s="12"/>
      <c r="J821" s="8"/>
      <c r="K821" s="13"/>
    </row>
    <row r="822" spans="1:11" x14ac:dyDescent="0.25">
      <c r="A822" s="3" t="str">
        <f>"63739012810"</f>
        <v>63739012810</v>
      </c>
      <c r="B822" s="3" t="s">
        <v>1157</v>
      </c>
      <c r="C822" s="3" t="s">
        <v>1161</v>
      </c>
      <c r="D822" s="3">
        <v>100</v>
      </c>
      <c r="E822" s="4" t="s">
        <v>11</v>
      </c>
      <c r="F822" s="5">
        <v>25</v>
      </c>
      <c r="G822" s="3">
        <v>100</v>
      </c>
      <c r="I822" s="7"/>
      <c r="J822" s="8"/>
      <c r="K822" s="9"/>
    </row>
    <row r="823" spans="1:11" x14ac:dyDescent="0.25">
      <c r="A823" t="str">
        <f>"68084008601"</f>
        <v>68084008601</v>
      </c>
      <c r="B823" t="s">
        <v>1157</v>
      </c>
      <c r="C823" t="s">
        <v>1162</v>
      </c>
      <c r="D823">
        <v>100</v>
      </c>
      <c r="E823" s="10" t="s">
        <v>11</v>
      </c>
      <c r="F823" s="11">
        <v>25</v>
      </c>
      <c r="G823">
        <v>100</v>
      </c>
      <c r="I823" s="12"/>
      <c r="J823" s="8"/>
      <c r="K823" s="13"/>
    </row>
    <row r="824" spans="1:11" x14ac:dyDescent="0.25">
      <c r="A824" s="3" t="str">
        <f>"00603385632"</f>
        <v>00603385632</v>
      </c>
      <c r="B824" s="3" t="s">
        <v>1157</v>
      </c>
      <c r="C824" s="3" t="s">
        <v>1163</v>
      </c>
      <c r="D824" s="3">
        <v>1000</v>
      </c>
      <c r="E824" s="4" t="s">
        <v>11</v>
      </c>
      <c r="F824" s="5">
        <v>25</v>
      </c>
      <c r="G824" s="3">
        <v>1000</v>
      </c>
      <c r="I824" s="7"/>
      <c r="J824" s="8"/>
      <c r="K824" s="9"/>
    </row>
    <row r="825" spans="1:11" x14ac:dyDescent="0.25">
      <c r="A825" t="str">
        <f>"00172208380"</f>
        <v>00172208380</v>
      </c>
      <c r="B825" t="s">
        <v>1157</v>
      </c>
      <c r="C825" t="s">
        <v>1163</v>
      </c>
      <c r="D825">
        <v>1000</v>
      </c>
      <c r="E825" s="10" t="s">
        <v>11</v>
      </c>
      <c r="F825" s="11">
        <v>25</v>
      </c>
      <c r="G825">
        <v>1000</v>
      </c>
      <c r="I825" s="12"/>
      <c r="J825" s="8"/>
      <c r="K825" s="13"/>
    </row>
    <row r="826" spans="1:11" x14ac:dyDescent="0.25">
      <c r="A826" s="3" t="str">
        <f>"00172208980"</f>
        <v>00172208980</v>
      </c>
      <c r="B826" s="3" t="s">
        <v>1157</v>
      </c>
      <c r="C826" s="3" t="s">
        <v>1164</v>
      </c>
      <c r="D826" s="3">
        <v>1000</v>
      </c>
      <c r="E826" s="4" t="s">
        <v>11</v>
      </c>
      <c r="F826" s="5">
        <v>50</v>
      </c>
      <c r="G826" s="3">
        <v>1000</v>
      </c>
      <c r="I826" s="7"/>
      <c r="J826" s="8"/>
      <c r="K826" s="9"/>
    </row>
    <row r="827" spans="1:11" x14ac:dyDescent="0.25">
      <c r="A827" t="str">
        <f>"68084085225"</f>
        <v>68084085225</v>
      </c>
      <c r="B827" t="s">
        <v>1165</v>
      </c>
      <c r="C827" t="s">
        <v>1166</v>
      </c>
      <c r="D827">
        <v>30</v>
      </c>
      <c r="E827" s="10" t="s">
        <v>851</v>
      </c>
      <c r="F827" s="11" t="s">
        <v>1167</v>
      </c>
      <c r="G827">
        <v>30</v>
      </c>
      <c r="I827" s="12"/>
      <c r="J827" s="8"/>
      <c r="K827" s="13"/>
    </row>
    <row r="828" spans="1:11" x14ac:dyDescent="0.25">
      <c r="A828" s="3" t="str">
        <f>"64376064801"</f>
        <v>64376064801</v>
      </c>
      <c r="B828" s="3" t="s">
        <v>1165</v>
      </c>
      <c r="C828" s="3" t="s">
        <v>1168</v>
      </c>
      <c r="D828" s="3">
        <v>100</v>
      </c>
      <c r="E828" s="4" t="s">
        <v>1169</v>
      </c>
      <c r="F828" s="5" t="s">
        <v>1170</v>
      </c>
      <c r="G828" s="3">
        <v>100</v>
      </c>
      <c r="I828" s="7"/>
      <c r="J828" s="8"/>
      <c r="K828" s="9"/>
    </row>
    <row r="829" spans="1:11" x14ac:dyDescent="0.25">
      <c r="A829" t="str">
        <f>"00168001431"</f>
        <v>00168001431</v>
      </c>
      <c r="B829" t="s">
        <v>608</v>
      </c>
      <c r="C829" t="s">
        <v>1171</v>
      </c>
      <c r="D829">
        <v>1</v>
      </c>
      <c r="E829" s="10" t="s">
        <v>43</v>
      </c>
      <c r="F829" s="11">
        <v>0.5</v>
      </c>
      <c r="G829">
        <v>28.35</v>
      </c>
      <c r="I829" s="12"/>
      <c r="J829" s="8"/>
      <c r="K829" s="13"/>
    </row>
    <row r="830" spans="1:11" x14ac:dyDescent="0.25">
      <c r="A830" s="3" t="str">
        <f>"00168001631"</f>
        <v>00168001631</v>
      </c>
      <c r="B830" s="3" t="s">
        <v>608</v>
      </c>
      <c r="C830" s="3" t="s">
        <v>1172</v>
      </c>
      <c r="D830" s="3">
        <v>1</v>
      </c>
      <c r="E830" s="4" t="s">
        <v>43</v>
      </c>
      <c r="F830" s="5">
        <v>0.5</v>
      </c>
      <c r="G830" s="3">
        <v>28.35</v>
      </c>
      <c r="I830" s="7"/>
      <c r="J830" s="8"/>
      <c r="K830" s="9"/>
    </row>
    <row r="831" spans="1:11" x14ac:dyDescent="0.25">
      <c r="A831" t="str">
        <f>"45802043803"</f>
        <v>45802043803</v>
      </c>
      <c r="B831" t="s">
        <v>608</v>
      </c>
      <c r="C831" t="s">
        <v>1173</v>
      </c>
      <c r="D831">
        <v>30</v>
      </c>
      <c r="E831" s="10">
        <v>0.01</v>
      </c>
      <c r="G831">
        <v>28</v>
      </c>
      <c r="I831" s="12"/>
      <c r="J831" s="8"/>
      <c r="K831" s="13"/>
    </row>
    <row r="832" spans="1:11" x14ac:dyDescent="0.25">
      <c r="A832" s="3" t="str">
        <f>"45802027603"</f>
        <v>45802027603</v>
      </c>
      <c r="B832" s="3" t="s">
        <v>608</v>
      </c>
      <c r="C832" s="3" t="s">
        <v>1174</v>
      </c>
      <c r="D832" s="3">
        <v>30</v>
      </c>
      <c r="E832" s="4" t="s">
        <v>43</v>
      </c>
      <c r="F832" s="5">
        <v>1</v>
      </c>
      <c r="G832" s="3">
        <v>28</v>
      </c>
      <c r="I832" s="7"/>
      <c r="J832" s="8"/>
      <c r="K832" s="9"/>
    </row>
    <row r="833" spans="1:11" x14ac:dyDescent="0.25">
      <c r="A833" t="str">
        <f>"51672300302"</f>
        <v>51672300302</v>
      </c>
      <c r="B833" t="s">
        <v>608</v>
      </c>
      <c r="C833" t="s">
        <v>1175</v>
      </c>
      <c r="D833">
        <v>28.35</v>
      </c>
      <c r="E833" s="10" t="s">
        <v>43</v>
      </c>
      <c r="F833" s="11">
        <v>2.5</v>
      </c>
      <c r="G833">
        <v>28.35</v>
      </c>
      <c r="I833" s="12"/>
      <c r="J833" s="8"/>
      <c r="K833" s="13"/>
    </row>
    <row r="834" spans="1:11" x14ac:dyDescent="0.25">
      <c r="A834" s="3" t="str">
        <f>"00168008031"</f>
        <v>00168008031</v>
      </c>
      <c r="B834" s="3" t="s">
        <v>608</v>
      </c>
      <c r="C834" s="3" t="s">
        <v>1175</v>
      </c>
      <c r="D834" s="3">
        <v>1</v>
      </c>
      <c r="E834" s="4" t="s">
        <v>43</v>
      </c>
      <c r="F834" s="5">
        <v>2.5</v>
      </c>
      <c r="G834" s="3">
        <v>30</v>
      </c>
      <c r="I834" s="7"/>
      <c r="J834" s="8"/>
      <c r="K834" s="9"/>
    </row>
    <row r="835" spans="1:11" x14ac:dyDescent="0.25">
      <c r="A835" t="str">
        <f>"00168014630"</f>
        <v>00168014630</v>
      </c>
      <c r="B835" t="s">
        <v>608</v>
      </c>
      <c r="C835" t="s">
        <v>1176</v>
      </c>
      <c r="D835">
        <v>28.35</v>
      </c>
      <c r="E835" s="10" t="s">
        <v>43</v>
      </c>
      <c r="F835" s="11">
        <v>2.5</v>
      </c>
      <c r="G835">
        <v>28.35</v>
      </c>
      <c r="I835" s="12"/>
      <c r="J835" s="8"/>
      <c r="K835" s="13"/>
    </row>
    <row r="836" spans="1:11" x14ac:dyDescent="0.25">
      <c r="A836" s="3" t="str">
        <f>"00295134796"</f>
        <v>00295134796</v>
      </c>
      <c r="B836" s="3" t="s">
        <v>164</v>
      </c>
      <c r="C836" s="3" t="s">
        <v>1177</v>
      </c>
      <c r="D836" s="3">
        <v>2</v>
      </c>
      <c r="E836" s="4"/>
      <c r="F836" s="5"/>
      <c r="G836" s="3">
        <v>57</v>
      </c>
      <c r="I836" s="7"/>
      <c r="J836" s="8"/>
      <c r="K836" s="9"/>
    </row>
    <row r="837" spans="1:11" x14ac:dyDescent="0.25">
      <c r="A837" t="str">
        <f>"68084042301"</f>
        <v>68084042301</v>
      </c>
      <c r="B837" t="s">
        <v>1178</v>
      </c>
      <c r="C837" t="s">
        <v>1179</v>
      </c>
      <c r="D837">
        <v>100</v>
      </c>
      <c r="E837" s="10" t="s">
        <v>11</v>
      </c>
      <c r="F837" s="11">
        <v>2</v>
      </c>
      <c r="G837">
        <v>100</v>
      </c>
      <c r="I837" s="12"/>
      <c r="J837" s="8"/>
      <c r="K837" s="13"/>
    </row>
    <row r="838" spans="1:11" x14ac:dyDescent="0.25">
      <c r="A838" s="3" t="str">
        <f>"00641012125"</f>
        <v>00641012125</v>
      </c>
      <c r="B838" s="3" t="s">
        <v>1178</v>
      </c>
      <c r="C838" s="3" t="s">
        <v>1180</v>
      </c>
      <c r="D838" s="3">
        <v>25</v>
      </c>
      <c r="E838" s="4" t="s">
        <v>20</v>
      </c>
      <c r="F838" s="5">
        <v>2</v>
      </c>
      <c r="G838" s="3">
        <v>1</v>
      </c>
      <c r="I838" s="7"/>
      <c r="J838" s="8"/>
      <c r="K838" s="9"/>
    </row>
    <row r="839" spans="1:11" x14ac:dyDescent="0.25">
      <c r="A839" t="str">
        <f>"00409336501"</f>
        <v>00409336501</v>
      </c>
      <c r="B839" t="s">
        <v>1178</v>
      </c>
      <c r="C839" t="s">
        <v>1181</v>
      </c>
      <c r="D839">
        <v>25</v>
      </c>
      <c r="E839" s="10" t="s">
        <v>20</v>
      </c>
      <c r="F839" s="11">
        <v>2</v>
      </c>
      <c r="G839">
        <v>1</v>
      </c>
      <c r="I839" s="12"/>
      <c r="J839" s="8"/>
      <c r="K839" s="13"/>
    </row>
    <row r="840" spans="1:11" x14ac:dyDescent="0.25">
      <c r="A840" s="3" t="str">
        <f>"42192015101"</f>
        <v>42192015101</v>
      </c>
      <c r="B840" s="3" t="s">
        <v>867</v>
      </c>
      <c r="C840" s="3" t="s">
        <v>1182</v>
      </c>
      <c r="D840" s="3">
        <v>28.35</v>
      </c>
      <c r="E840" s="4" t="s">
        <v>43</v>
      </c>
      <c r="F840" s="5">
        <v>4</v>
      </c>
      <c r="G840" s="3">
        <v>28.35</v>
      </c>
      <c r="I840" s="7"/>
      <c r="J840" s="8"/>
      <c r="K840" s="9"/>
    </row>
    <row r="841" spans="1:11" x14ac:dyDescent="0.25">
      <c r="A841" t="str">
        <f>"68382009605"</f>
        <v>68382009605</v>
      </c>
      <c r="B841" t="s">
        <v>1183</v>
      </c>
      <c r="C841" t="s">
        <v>1184</v>
      </c>
      <c r="D841">
        <v>500</v>
      </c>
      <c r="E841" s="10" t="s">
        <v>11</v>
      </c>
      <c r="F841" s="11">
        <v>200</v>
      </c>
      <c r="G841">
        <v>500</v>
      </c>
      <c r="I841" s="12"/>
      <c r="J841" s="8"/>
      <c r="K841" s="13"/>
    </row>
    <row r="842" spans="1:11" x14ac:dyDescent="0.25">
      <c r="A842" s="3" t="str">
        <f>"68084028401"</f>
        <v>68084028401</v>
      </c>
      <c r="B842" s="3" t="s">
        <v>1185</v>
      </c>
      <c r="C842" s="3" t="s">
        <v>1186</v>
      </c>
      <c r="D842" s="3">
        <v>100</v>
      </c>
      <c r="E842" s="4" t="s">
        <v>11</v>
      </c>
      <c r="F842" s="5">
        <v>500</v>
      </c>
      <c r="G842" s="3">
        <v>100</v>
      </c>
      <c r="I842" s="7"/>
      <c r="J842" s="8"/>
      <c r="K842" s="9"/>
    </row>
    <row r="843" spans="1:11" x14ac:dyDescent="0.25">
      <c r="A843" t="str">
        <f>"00185067405"</f>
        <v>00185067405</v>
      </c>
      <c r="B843" t="s">
        <v>1187</v>
      </c>
      <c r="C843" t="s">
        <v>1188</v>
      </c>
      <c r="D843">
        <v>500</v>
      </c>
      <c r="E843" s="10" t="s">
        <v>11</v>
      </c>
      <c r="F843" s="11">
        <v>25</v>
      </c>
      <c r="G843">
        <v>500</v>
      </c>
      <c r="I843" s="12"/>
      <c r="J843" s="8"/>
      <c r="K843" s="13"/>
    </row>
    <row r="844" spans="1:11" x14ac:dyDescent="0.25">
      <c r="A844" s="3" t="str">
        <f>"60432015016"</f>
        <v>60432015016</v>
      </c>
      <c r="B844" s="3" t="s">
        <v>1189</v>
      </c>
      <c r="C844" s="3" t="s">
        <v>1190</v>
      </c>
      <c r="D844" s="3">
        <v>16</v>
      </c>
      <c r="E844" s="4" t="s">
        <v>438</v>
      </c>
      <c r="F844" s="5">
        <v>10</v>
      </c>
      <c r="G844" s="3">
        <v>473</v>
      </c>
      <c r="I844" s="7"/>
      <c r="J844" s="8"/>
      <c r="K844" s="9"/>
    </row>
    <row r="845" spans="1:11" x14ac:dyDescent="0.25">
      <c r="A845" t="str">
        <f>"54838050280"</f>
        <v>54838050280</v>
      </c>
      <c r="B845" t="s">
        <v>1189</v>
      </c>
      <c r="C845" t="s">
        <v>1191</v>
      </c>
      <c r="D845">
        <v>473</v>
      </c>
      <c r="E845" s="10" t="s">
        <v>1192</v>
      </c>
      <c r="F845" s="11">
        <v>10</v>
      </c>
      <c r="G845">
        <v>473</v>
      </c>
      <c r="I845" s="12"/>
      <c r="J845" s="8"/>
      <c r="K845" s="13"/>
    </row>
    <row r="846" spans="1:11" x14ac:dyDescent="0.25">
      <c r="A846" s="3" t="str">
        <f>"00185067401"</f>
        <v>00185067401</v>
      </c>
      <c r="B846" s="3" t="s">
        <v>1187</v>
      </c>
      <c r="C846" s="3" t="s">
        <v>1193</v>
      </c>
      <c r="D846" s="3">
        <v>100</v>
      </c>
      <c r="E846" s="4" t="s">
        <v>11</v>
      </c>
      <c r="F846" s="5">
        <v>25</v>
      </c>
      <c r="G846" s="3">
        <v>100</v>
      </c>
      <c r="I846" s="7"/>
      <c r="J846" s="8"/>
      <c r="K846" s="9"/>
    </row>
    <row r="847" spans="1:11" x14ac:dyDescent="0.25">
      <c r="A847" t="str">
        <f>"51079007720"</f>
        <v>51079007720</v>
      </c>
      <c r="B847" t="s">
        <v>1187</v>
      </c>
      <c r="C847" t="s">
        <v>1194</v>
      </c>
      <c r="D847">
        <v>100</v>
      </c>
      <c r="E847" s="10" t="s">
        <v>11</v>
      </c>
      <c r="F847" s="11">
        <v>25</v>
      </c>
      <c r="G847">
        <v>100</v>
      </c>
      <c r="I847" s="12"/>
      <c r="J847" s="8"/>
      <c r="K847" s="13"/>
    </row>
    <row r="848" spans="1:11" x14ac:dyDescent="0.25">
      <c r="A848" s="3" t="str">
        <f>"68084084701"</f>
        <v>68084084701</v>
      </c>
      <c r="B848" s="3" t="s">
        <v>1187</v>
      </c>
      <c r="C848" s="3" t="s">
        <v>1195</v>
      </c>
      <c r="D848" s="3">
        <v>100</v>
      </c>
      <c r="E848" s="4" t="s">
        <v>11</v>
      </c>
      <c r="F848" s="5">
        <v>25</v>
      </c>
      <c r="G848" s="3">
        <v>100</v>
      </c>
      <c r="I848" s="7"/>
      <c r="J848" s="8"/>
      <c r="K848" s="9"/>
    </row>
    <row r="849" spans="1:11" x14ac:dyDescent="0.25">
      <c r="A849" t="str">
        <f>"51079007820"</f>
        <v>51079007820</v>
      </c>
      <c r="B849" t="s">
        <v>1187</v>
      </c>
      <c r="C849" t="s">
        <v>1196</v>
      </c>
      <c r="D849">
        <v>100</v>
      </c>
      <c r="E849" s="10" t="s">
        <v>11</v>
      </c>
      <c r="F849" s="11">
        <v>50</v>
      </c>
      <c r="G849">
        <v>100</v>
      </c>
      <c r="I849" s="12"/>
      <c r="J849" s="8"/>
      <c r="K849" s="13"/>
    </row>
    <row r="850" spans="1:11" x14ac:dyDescent="0.25">
      <c r="A850" s="3" t="str">
        <f>"62584074101"</f>
        <v>62584074101</v>
      </c>
      <c r="B850" s="3" t="s">
        <v>1187</v>
      </c>
      <c r="C850" s="3" t="s">
        <v>1197</v>
      </c>
      <c r="D850" s="3">
        <v>100</v>
      </c>
      <c r="E850" s="4" t="s">
        <v>11</v>
      </c>
      <c r="F850" s="5">
        <v>50</v>
      </c>
      <c r="G850" s="3">
        <v>100</v>
      </c>
      <c r="I850" s="7"/>
      <c r="J850" s="8"/>
      <c r="K850" s="9"/>
    </row>
    <row r="851" spans="1:11" x14ac:dyDescent="0.25">
      <c r="A851" t="str">
        <f>"00185061505"</f>
        <v>00185061505</v>
      </c>
      <c r="B851" t="s">
        <v>1187</v>
      </c>
      <c r="C851" t="s">
        <v>1198</v>
      </c>
      <c r="D851">
        <v>500</v>
      </c>
      <c r="E851" s="10" t="s">
        <v>11</v>
      </c>
      <c r="F851" s="11">
        <v>50</v>
      </c>
      <c r="G851">
        <v>500</v>
      </c>
      <c r="I851" s="12"/>
      <c r="J851" s="8"/>
      <c r="K851" s="13"/>
    </row>
    <row r="852" spans="1:11" x14ac:dyDescent="0.25">
      <c r="A852" s="3" t="str">
        <f>"45802095243"</f>
        <v>45802095243</v>
      </c>
      <c r="B852" s="3" t="s">
        <v>1199</v>
      </c>
      <c r="C852" s="3" t="s">
        <v>1200</v>
      </c>
      <c r="D852" s="3">
        <v>473</v>
      </c>
      <c r="E852" s="4" t="s">
        <v>438</v>
      </c>
      <c r="F852" s="5">
        <v>100</v>
      </c>
      <c r="G852" s="3">
        <v>473</v>
      </c>
      <c r="I852" s="7"/>
      <c r="J852" s="8"/>
      <c r="K852" s="9"/>
    </row>
    <row r="853" spans="1:11" x14ac:dyDescent="0.25">
      <c r="A853" t="str">
        <f>"47682080813"</f>
        <v>47682080813</v>
      </c>
      <c r="B853" t="s">
        <v>1199</v>
      </c>
      <c r="C853" t="s">
        <v>1201</v>
      </c>
      <c r="D853">
        <v>500</v>
      </c>
      <c r="E853" s="10" t="s">
        <v>936</v>
      </c>
      <c r="F853" s="11">
        <v>200</v>
      </c>
      <c r="G853">
        <v>2</v>
      </c>
      <c r="I853" s="12"/>
      <c r="J853" s="8"/>
      <c r="K853" s="13"/>
    </row>
    <row r="854" spans="1:11" x14ac:dyDescent="0.25">
      <c r="A854" s="3" t="str">
        <f>"00904791524"</f>
        <v>00904791524</v>
      </c>
      <c r="B854" s="3" t="s">
        <v>1199</v>
      </c>
      <c r="C854" s="3" t="s">
        <v>1202</v>
      </c>
      <c r="D854" s="3">
        <v>24</v>
      </c>
      <c r="E854" s="4" t="s">
        <v>1203</v>
      </c>
      <c r="F854" s="5">
        <v>200</v>
      </c>
      <c r="G854" s="3">
        <v>24</v>
      </c>
      <c r="I854" s="7"/>
      <c r="J854" s="8"/>
      <c r="K854" s="9"/>
    </row>
    <row r="855" spans="1:11" x14ac:dyDescent="0.25">
      <c r="A855" t="str">
        <f>"68084070301"</f>
        <v>68084070301</v>
      </c>
      <c r="B855" t="s">
        <v>1199</v>
      </c>
      <c r="C855" t="s">
        <v>1204</v>
      </c>
      <c r="D855">
        <v>100</v>
      </c>
      <c r="E855" s="10" t="s">
        <v>11</v>
      </c>
      <c r="F855" s="11">
        <v>600</v>
      </c>
      <c r="G855">
        <v>100</v>
      </c>
      <c r="I855" s="12"/>
      <c r="J855" s="8"/>
      <c r="K855" s="13"/>
    </row>
    <row r="856" spans="1:11" x14ac:dyDescent="0.25">
      <c r="A856" s="3" t="str">
        <f>"53746046505"</f>
        <v>53746046505</v>
      </c>
      <c r="B856" s="3" t="s">
        <v>1199</v>
      </c>
      <c r="C856" s="3" t="s">
        <v>1205</v>
      </c>
      <c r="D856" s="3">
        <v>500</v>
      </c>
      <c r="E856" s="4" t="s">
        <v>11</v>
      </c>
      <c r="F856" s="5">
        <v>600</v>
      </c>
      <c r="G856" s="3">
        <v>500</v>
      </c>
      <c r="I856" s="7"/>
      <c r="J856" s="8"/>
      <c r="K856" s="9"/>
    </row>
    <row r="857" spans="1:11" x14ac:dyDescent="0.25">
      <c r="A857" t="str">
        <f>"53746046601"</f>
        <v>53746046601</v>
      </c>
      <c r="B857" t="s">
        <v>1199</v>
      </c>
      <c r="C857" t="s">
        <v>1206</v>
      </c>
      <c r="D857">
        <v>100</v>
      </c>
      <c r="E857" s="10" t="s">
        <v>11</v>
      </c>
      <c r="F857" s="11">
        <v>800</v>
      </c>
      <c r="G857">
        <v>100</v>
      </c>
      <c r="I857" s="12"/>
      <c r="J857" s="8"/>
      <c r="K857" s="13"/>
    </row>
    <row r="858" spans="1:11" x14ac:dyDescent="0.25">
      <c r="A858" s="3" t="str">
        <f>"00904585561"</f>
        <v>00904585561</v>
      </c>
      <c r="B858" s="3" t="s">
        <v>1199</v>
      </c>
      <c r="C858" s="3" t="s">
        <v>1207</v>
      </c>
      <c r="D858" s="3">
        <v>100</v>
      </c>
      <c r="E858" s="4" t="s">
        <v>11</v>
      </c>
      <c r="F858" s="5">
        <v>800</v>
      </c>
      <c r="G858" s="3">
        <v>100</v>
      </c>
      <c r="I858" s="7"/>
      <c r="J858" s="8"/>
      <c r="K858" s="9"/>
    </row>
    <row r="859" spans="1:11" x14ac:dyDescent="0.25">
      <c r="A859" t="str">
        <f>"53746046605"</f>
        <v>53746046605</v>
      </c>
      <c r="B859" t="s">
        <v>1199</v>
      </c>
      <c r="C859" t="s">
        <v>1208</v>
      </c>
      <c r="D859">
        <v>500</v>
      </c>
      <c r="E859" s="10" t="s">
        <v>11</v>
      </c>
      <c r="F859" s="11">
        <v>800</v>
      </c>
      <c r="G859">
        <v>500</v>
      </c>
      <c r="I859" s="12"/>
      <c r="J859" s="8"/>
      <c r="K859" s="13"/>
    </row>
    <row r="860" spans="1:11" x14ac:dyDescent="0.25">
      <c r="A860" s="3" t="str">
        <f>"00904585540"</f>
        <v>00904585540</v>
      </c>
      <c r="B860" s="3" t="s">
        <v>1199</v>
      </c>
      <c r="C860" s="3" t="s">
        <v>1208</v>
      </c>
      <c r="D860" s="3">
        <v>500</v>
      </c>
      <c r="E860" s="4" t="s">
        <v>11</v>
      </c>
      <c r="F860" s="5">
        <v>800</v>
      </c>
      <c r="G860" s="3">
        <v>500</v>
      </c>
      <c r="I860" s="7"/>
      <c r="J860" s="8"/>
      <c r="K860" s="9"/>
    </row>
    <row r="861" spans="1:11" x14ac:dyDescent="0.25">
      <c r="A861" t="str">
        <f>"00065804054"</f>
        <v>00065804054</v>
      </c>
      <c r="B861" t="s">
        <v>1209</v>
      </c>
      <c r="C861" t="s">
        <v>1210</v>
      </c>
      <c r="D861">
        <v>120</v>
      </c>
      <c r="G861">
        <v>120</v>
      </c>
      <c r="I861" s="12"/>
      <c r="J861" s="8"/>
      <c r="K861" s="13"/>
    </row>
    <row r="862" spans="1:11" x14ac:dyDescent="0.25">
      <c r="A862" s="3" t="str">
        <f>"69315013401"</f>
        <v>69315013401</v>
      </c>
      <c r="B862" s="3" t="s">
        <v>1211</v>
      </c>
      <c r="C862" s="3" t="s">
        <v>1212</v>
      </c>
      <c r="D862" s="3">
        <v>100</v>
      </c>
      <c r="E862" s="4" t="s">
        <v>11</v>
      </c>
      <c r="F862" s="5">
        <v>25</v>
      </c>
      <c r="G862" s="3">
        <v>100</v>
      </c>
      <c r="I862" s="7"/>
      <c r="J862" s="8"/>
      <c r="K862" s="9"/>
    </row>
    <row r="863" spans="1:11" x14ac:dyDescent="0.25">
      <c r="A863" t="str">
        <f>"49884005601"</f>
        <v>49884005601</v>
      </c>
      <c r="B863" t="s">
        <v>1211</v>
      </c>
      <c r="C863" t="s">
        <v>1213</v>
      </c>
      <c r="D863">
        <v>100</v>
      </c>
      <c r="E863" s="10" t="s">
        <v>11</v>
      </c>
      <c r="F863" s="11">
        <v>50</v>
      </c>
      <c r="G863">
        <v>100</v>
      </c>
      <c r="I863" s="12"/>
      <c r="J863" s="8"/>
      <c r="K863" s="13"/>
    </row>
    <row r="864" spans="1:11" x14ac:dyDescent="0.25">
      <c r="A864" s="3" t="str">
        <f>"00168043224"</f>
        <v>00168043224</v>
      </c>
      <c r="B864" s="3" t="s">
        <v>1214</v>
      </c>
      <c r="C864" s="3" t="s">
        <v>1215</v>
      </c>
      <c r="D864" s="3">
        <v>6</v>
      </c>
      <c r="E864" s="4" t="s">
        <v>43</v>
      </c>
      <c r="F864" s="5">
        <v>5</v>
      </c>
      <c r="G864" s="3">
        <v>24</v>
      </c>
      <c r="I864" s="7"/>
      <c r="J864" s="8"/>
      <c r="K864" s="9"/>
    </row>
    <row r="865" spans="1:11" x14ac:dyDescent="0.25">
      <c r="A865" t="str">
        <f>"49281025051"</f>
        <v>49281025051</v>
      </c>
      <c r="B865" t="s">
        <v>1216</v>
      </c>
      <c r="C865" t="s">
        <v>1217</v>
      </c>
      <c r="D865">
        <v>1</v>
      </c>
      <c r="G865">
        <v>1</v>
      </c>
      <c r="I865" s="12"/>
      <c r="J865" s="8"/>
      <c r="K865" s="13"/>
    </row>
    <row r="866" spans="1:11" x14ac:dyDescent="0.25">
      <c r="A866" s="3" t="str">
        <f>"00378006901"</f>
        <v>00378006901</v>
      </c>
      <c r="B866" s="3" t="s">
        <v>1218</v>
      </c>
      <c r="C866" s="3" t="s">
        <v>1219</v>
      </c>
      <c r="D866" s="3">
        <v>100</v>
      </c>
      <c r="E866" s="4" t="s">
        <v>11</v>
      </c>
      <c r="F866" s="5">
        <v>1.25</v>
      </c>
      <c r="G866" s="3">
        <v>100</v>
      </c>
      <c r="I866" s="7"/>
      <c r="J866" s="8"/>
      <c r="K866" s="9"/>
    </row>
    <row r="867" spans="1:11" x14ac:dyDescent="0.25">
      <c r="A867" t="str">
        <f>"51079019020"</f>
        <v>51079019020</v>
      </c>
      <c r="B867" t="s">
        <v>1220</v>
      </c>
      <c r="C867" t="s">
        <v>1222</v>
      </c>
      <c r="D867">
        <v>100</v>
      </c>
      <c r="E867" s="10" t="s">
        <v>11</v>
      </c>
      <c r="F867" s="11">
        <v>25</v>
      </c>
      <c r="G867">
        <v>100</v>
      </c>
      <c r="I867" s="12"/>
      <c r="J867" s="8"/>
      <c r="K867" s="13"/>
    </row>
    <row r="868" spans="1:11" x14ac:dyDescent="0.25">
      <c r="A868" s="3" t="str">
        <f>"68462040610"</f>
        <v>68462040610</v>
      </c>
      <c r="B868" s="3" t="s">
        <v>1220</v>
      </c>
      <c r="C868" s="3" t="s">
        <v>1221</v>
      </c>
      <c r="D868" s="3">
        <v>1000</v>
      </c>
      <c r="E868" s="4" t="s">
        <v>11</v>
      </c>
      <c r="F868" s="5">
        <v>25</v>
      </c>
      <c r="G868" s="3">
        <v>1000</v>
      </c>
      <c r="I868" s="7"/>
      <c r="J868" s="8"/>
      <c r="K868" s="9"/>
    </row>
    <row r="869" spans="1:11" x14ac:dyDescent="0.25">
      <c r="A869" t="str">
        <f>"31722054201"</f>
        <v>31722054201</v>
      </c>
      <c r="B869" t="s">
        <v>1220</v>
      </c>
      <c r="C869" t="s">
        <v>1223</v>
      </c>
      <c r="D869">
        <v>100</v>
      </c>
      <c r="E869" s="10" t="s">
        <v>11</v>
      </c>
      <c r="F869" s="11">
        <v>25</v>
      </c>
      <c r="G869">
        <v>100</v>
      </c>
      <c r="I869" s="12"/>
      <c r="J869" s="8"/>
      <c r="K869" s="13"/>
    </row>
    <row r="870" spans="1:11" x14ac:dyDescent="0.25">
      <c r="A870" s="3" t="str">
        <f>"68462030201"</f>
        <v>68462030201</v>
      </c>
      <c r="B870" s="3" t="s">
        <v>1220</v>
      </c>
      <c r="C870" s="3" t="s">
        <v>1224</v>
      </c>
      <c r="D870" s="3">
        <v>100</v>
      </c>
      <c r="E870" s="4" t="s">
        <v>11</v>
      </c>
      <c r="F870" s="5">
        <v>50</v>
      </c>
      <c r="G870" s="3">
        <v>100</v>
      </c>
      <c r="I870" s="7"/>
      <c r="J870" s="8"/>
      <c r="K870" s="9"/>
    </row>
    <row r="871" spans="1:11" x14ac:dyDescent="0.25">
      <c r="A871" t="str">
        <f>"51079019120"</f>
        <v>51079019120</v>
      </c>
      <c r="B871" t="s">
        <v>1220</v>
      </c>
      <c r="C871" t="s">
        <v>1225</v>
      </c>
      <c r="D871">
        <v>100</v>
      </c>
      <c r="E871" s="10" t="s">
        <v>11</v>
      </c>
      <c r="F871" s="11">
        <v>50</v>
      </c>
      <c r="G871">
        <v>100</v>
      </c>
      <c r="I871" s="12"/>
      <c r="J871" s="8"/>
      <c r="K871" s="13"/>
    </row>
    <row r="872" spans="1:11" x14ac:dyDescent="0.25">
      <c r="A872" s="3" t="str">
        <f>"10702001606"</f>
        <v>10702001606</v>
      </c>
      <c r="B872" s="3" t="s">
        <v>1220</v>
      </c>
      <c r="C872" s="3" t="s">
        <v>1226</v>
      </c>
      <c r="D872" s="3">
        <v>60</v>
      </c>
      <c r="E872" s="4" t="s">
        <v>33</v>
      </c>
      <c r="F872" s="5">
        <v>75</v>
      </c>
      <c r="G872" s="3">
        <v>60</v>
      </c>
      <c r="I872" s="7"/>
      <c r="J872" s="8"/>
      <c r="K872" s="9"/>
    </row>
    <row r="873" spans="1:11" x14ac:dyDescent="0.25">
      <c r="A873" t="str">
        <f>"66689020308"</f>
        <v>66689020308</v>
      </c>
      <c r="B873" t="s">
        <v>1227</v>
      </c>
      <c r="C873" t="s">
        <v>1228</v>
      </c>
      <c r="D873">
        <v>8</v>
      </c>
      <c r="E873" s="10" t="s">
        <v>1229</v>
      </c>
      <c r="F873" s="11">
        <v>50</v>
      </c>
      <c r="G873">
        <v>240</v>
      </c>
      <c r="I873" s="12"/>
      <c r="J873" s="8"/>
      <c r="K873" s="13"/>
    </row>
    <row r="874" spans="1:11" x14ac:dyDescent="0.25">
      <c r="A874" s="3" t="str">
        <f>"59676057001"</f>
        <v>59676057001</v>
      </c>
      <c r="B874" s="3" t="s">
        <v>1230</v>
      </c>
      <c r="C874" s="3" t="s">
        <v>1231</v>
      </c>
      <c r="D874" s="3">
        <v>120</v>
      </c>
      <c r="E874" s="4" t="s">
        <v>11</v>
      </c>
      <c r="F874" s="5">
        <v>100</v>
      </c>
      <c r="G874" s="3">
        <v>120</v>
      </c>
      <c r="I874" s="7"/>
      <c r="J874" s="8"/>
      <c r="K874" s="9"/>
    </row>
    <row r="875" spans="1:11" x14ac:dyDescent="0.25">
      <c r="A875" t="str">
        <f>"59676057101"</f>
        <v>59676057101</v>
      </c>
      <c r="B875" t="s">
        <v>1230</v>
      </c>
      <c r="C875" t="s">
        <v>1232</v>
      </c>
      <c r="D875">
        <v>60</v>
      </c>
      <c r="E875" s="10" t="s">
        <v>11</v>
      </c>
      <c r="F875" s="11">
        <v>200</v>
      </c>
      <c r="G875">
        <v>60</v>
      </c>
      <c r="I875" s="12"/>
      <c r="J875" s="8"/>
      <c r="K875" s="13"/>
    </row>
    <row r="876" spans="1:11" x14ac:dyDescent="0.25">
      <c r="A876" s="3" t="str">
        <f>"00006384571"</f>
        <v>00006384571</v>
      </c>
      <c r="B876" s="3" t="s">
        <v>1233</v>
      </c>
      <c r="C876" s="3" t="s">
        <v>1234</v>
      </c>
      <c r="D876" s="3">
        <v>10</v>
      </c>
      <c r="E876" s="4" t="s">
        <v>48</v>
      </c>
      <c r="F876" s="5">
        <v>1</v>
      </c>
      <c r="G876" s="3">
        <v>1</v>
      </c>
      <c r="I876" s="7"/>
      <c r="J876" s="8"/>
      <c r="K876" s="9"/>
    </row>
    <row r="877" spans="1:11" x14ac:dyDescent="0.25">
      <c r="A877" t="str">
        <f>"00006384371"</f>
        <v>00006384371</v>
      </c>
      <c r="B877" t="s">
        <v>1233</v>
      </c>
      <c r="C877" t="s">
        <v>1235</v>
      </c>
      <c r="D877">
        <v>10</v>
      </c>
      <c r="E877" s="10" t="s">
        <v>48</v>
      </c>
      <c r="F877" s="11">
        <v>1</v>
      </c>
      <c r="G877">
        <v>1</v>
      </c>
      <c r="I877" s="12"/>
      <c r="J877" s="8"/>
      <c r="K877" s="13"/>
    </row>
    <row r="878" spans="1:11" x14ac:dyDescent="0.25">
      <c r="A878" s="3" t="str">
        <f>"50458055001"</f>
        <v>50458055001</v>
      </c>
      <c r="B878" s="3" t="s">
        <v>1236</v>
      </c>
      <c r="C878" s="3" t="s">
        <v>1237</v>
      </c>
      <c r="D878" s="3">
        <v>30</v>
      </c>
      <c r="E878" s="4" t="s">
        <v>11</v>
      </c>
      <c r="F878" s="5">
        <v>3</v>
      </c>
      <c r="G878" s="3">
        <v>30</v>
      </c>
      <c r="I878" s="7"/>
      <c r="J878" s="8"/>
      <c r="K878" s="9"/>
    </row>
    <row r="879" spans="1:11" x14ac:dyDescent="0.25">
      <c r="A879" t="str">
        <f>"50458056201"</f>
        <v>50458056201</v>
      </c>
      <c r="B879" t="s">
        <v>1238</v>
      </c>
      <c r="C879" t="s">
        <v>1239</v>
      </c>
      <c r="D879">
        <v>0.75</v>
      </c>
      <c r="E879" s="10" t="s">
        <v>11</v>
      </c>
      <c r="F879" s="11">
        <v>117</v>
      </c>
      <c r="G879">
        <v>0.75</v>
      </c>
      <c r="I879" s="12"/>
      <c r="J879" s="8"/>
      <c r="K879" s="13"/>
    </row>
    <row r="880" spans="1:11" x14ac:dyDescent="0.25">
      <c r="A880" s="3" t="str">
        <f>"50458056301"</f>
        <v>50458056301</v>
      </c>
      <c r="B880" s="3" t="s">
        <v>1238</v>
      </c>
      <c r="C880" s="3" t="s">
        <v>1240</v>
      </c>
      <c r="D880" s="3">
        <v>1</v>
      </c>
      <c r="E880" s="4" t="s">
        <v>11</v>
      </c>
      <c r="F880" s="5">
        <v>156</v>
      </c>
      <c r="G880" s="3">
        <v>1</v>
      </c>
      <c r="I880" s="7"/>
      <c r="J880" s="8"/>
      <c r="K880" s="9"/>
    </row>
    <row r="881" spans="1:11" x14ac:dyDescent="0.25">
      <c r="A881" t="str">
        <f>"50458056401"</f>
        <v>50458056401</v>
      </c>
      <c r="B881" t="s">
        <v>1238</v>
      </c>
      <c r="C881" t="s">
        <v>1241</v>
      </c>
      <c r="D881">
        <v>1.5</v>
      </c>
      <c r="E881" s="10" t="s">
        <v>11</v>
      </c>
      <c r="F881" s="11">
        <v>234</v>
      </c>
      <c r="G881">
        <v>1.5</v>
      </c>
      <c r="I881" s="12"/>
      <c r="J881" s="8"/>
      <c r="K881" s="13"/>
    </row>
    <row r="882" spans="1:11" x14ac:dyDescent="0.25">
      <c r="A882" s="3" t="str">
        <f>"50458056101"</f>
        <v>50458056101</v>
      </c>
      <c r="B882" s="3" t="s">
        <v>1238</v>
      </c>
      <c r="C882" s="3" t="s">
        <v>1242</v>
      </c>
      <c r="D882" s="3">
        <v>0.5</v>
      </c>
      <c r="E882" s="4" t="s">
        <v>11</v>
      </c>
      <c r="F882" s="5">
        <v>78</v>
      </c>
      <c r="G882" s="3">
        <v>0.5</v>
      </c>
      <c r="I882" s="7"/>
      <c r="J882" s="8"/>
      <c r="K882" s="9"/>
    </row>
    <row r="883" spans="1:11" x14ac:dyDescent="0.25">
      <c r="A883" t="str">
        <f>"00054004544"</f>
        <v>00054004544</v>
      </c>
      <c r="B883" t="s">
        <v>230</v>
      </c>
      <c r="C883" t="s">
        <v>1243</v>
      </c>
      <c r="D883">
        <v>30</v>
      </c>
      <c r="E883" s="10" t="s">
        <v>43</v>
      </c>
      <c r="F883" s="11">
        <v>0.03</v>
      </c>
      <c r="G883">
        <v>30</v>
      </c>
      <c r="I883" s="12"/>
      <c r="J883" s="8"/>
      <c r="K883" s="13"/>
    </row>
    <row r="884" spans="1:11" x14ac:dyDescent="0.25">
      <c r="A884" s="3" t="str">
        <f>"00054004641"</f>
        <v>00054004641</v>
      </c>
      <c r="B884" s="3" t="s">
        <v>230</v>
      </c>
      <c r="C884" s="3" t="s">
        <v>1244</v>
      </c>
      <c r="D884" s="3">
        <v>15</v>
      </c>
      <c r="E884" s="4" t="s">
        <v>43</v>
      </c>
      <c r="F884" s="5">
        <v>0.06</v>
      </c>
      <c r="G884" s="3">
        <v>15</v>
      </c>
      <c r="I884" s="7"/>
      <c r="J884" s="8"/>
      <c r="K884" s="9"/>
    </row>
    <row r="885" spans="1:11" x14ac:dyDescent="0.25">
      <c r="A885" t="str">
        <f>"00487020101"</f>
        <v>00487020101</v>
      </c>
      <c r="B885" t="s">
        <v>596</v>
      </c>
      <c r="C885" t="s">
        <v>1245</v>
      </c>
      <c r="D885">
        <v>90</v>
      </c>
      <c r="E885" s="10" t="s">
        <v>1246</v>
      </c>
      <c r="F885" s="11">
        <v>0.5</v>
      </c>
      <c r="G885">
        <v>3</v>
      </c>
      <c r="I885" s="12"/>
      <c r="J885" s="8"/>
      <c r="K885" s="13"/>
    </row>
    <row r="886" spans="1:11" x14ac:dyDescent="0.25">
      <c r="A886" s="3" t="str">
        <f>"76204060030"</f>
        <v>76204060030</v>
      </c>
      <c r="B886" s="3" t="s">
        <v>596</v>
      </c>
      <c r="C886" s="3" t="s">
        <v>1247</v>
      </c>
      <c r="D886" s="3">
        <v>90</v>
      </c>
      <c r="E886" s="4" t="s">
        <v>1248</v>
      </c>
      <c r="F886" s="5" t="s">
        <v>1249</v>
      </c>
      <c r="G886" s="3">
        <v>3</v>
      </c>
      <c r="I886" s="7"/>
      <c r="J886" s="8"/>
      <c r="K886" s="9"/>
    </row>
    <row r="887" spans="1:11" x14ac:dyDescent="0.25">
      <c r="A887" t="str">
        <f>"76204060060"</f>
        <v>76204060060</v>
      </c>
      <c r="B887" t="s">
        <v>596</v>
      </c>
      <c r="C887" t="s">
        <v>1250</v>
      </c>
      <c r="D887">
        <v>180</v>
      </c>
      <c r="E887" s="10" t="s">
        <v>1248</v>
      </c>
      <c r="F887" s="11" t="s">
        <v>1249</v>
      </c>
      <c r="G887">
        <v>3</v>
      </c>
      <c r="I887" s="12"/>
      <c r="J887" s="8"/>
      <c r="K887" s="13"/>
    </row>
    <row r="888" spans="1:11" x14ac:dyDescent="0.25">
      <c r="A888" s="3" t="str">
        <f>"68180041106"</f>
        <v>68180041106</v>
      </c>
      <c r="B888" s="3" t="s">
        <v>1251</v>
      </c>
      <c r="C888" s="3" t="s">
        <v>1252</v>
      </c>
      <c r="D888" s="3">
        <v>30</v>
      </c>
      <c r="E888" s="4" t="s">
        <v>11</v>
      </c>
      <c r="F888" s="5">
        <v>150</v>
      </c>
      <c r="G888" s="3">
        <v>30</v>
      </c>
      <c r="I888" s="7"/>
      <c r="J888" s="8"/>
      <c r="K888" s="9"/>
    </row>
    <row r="889" spans="1:11" x14ac:dyDescent="0.25">
      <c r="A889" t="str">
        <f>"68180041109"</f>
        <v>68180041109</v>
      </c>
      <c r="B889" t="s">
        <v>1251</v>
      </c>
      <c r="C889" t="s">
        <v>1253</v>
      </c>
      <c r="D889">
        <v>90</v>
      </c>
      <c r="E889" s="10" t="s">
        <v>11</v>
      </c>
      <c r="F889" s="11">
        <v>150</v>
      </c>
      <c r="G889">
        <v>90</v>
      </c>
      <c r="I889" s="12"/>
      <c r="J889" s="8"/>
      <c r="K889" s="13"/>
    </row>
    <row r="890" spans="1:11" x14ac:dyDescent="0.25">
      <c r="A890" s="3" t="str">
        <f>"68180041006"</f>
        <v>68180041006</v>
      </c>
      <c r="B890" s="3" t="s">
        <v>1251</v>
      </c>
      <c r="C890" s="3" t="s">
        <v>1254</v>
      </c>
      <c r="D890" s="3">
        <v>30</v>
      </c>
      <c r="E890" s="4" t="s">
        <v>11</v>
      </c>
      <c r="F890" s="5">
        <v>75</v>
      </c>
      <c r="G890" s="3">
        <v>30</v>
      </c>
      <c r="I890" s="7"/>
      <c r="J890" s="8"/>
      <c r="K890" s="9"/>
    </row>
    <row r="891" spans="1:11" x14ac:dyDescent="0.25">
      <c r="A891" t="str">
        <f>"00006022761"</f>
        <v>00006022761</v>
      </c>
      <c r="B891" t="s">
        <v>1255</v>
      </c>
      <c r="C891" t="s">
        <v>1256</v>
      </c>
      <c r="D891">
        <v>60</v>
      </c>
      <c r="E891" s="10" t="s">
        <v>11</v>
      </c>
      <c r="F891" s="11">
        <v>400</v>
      </c>
      <c r="G891">
        <v>60</v>
      </c>
      <c r="I891" s="12"/>
      <c r="J891" s="8"/>
      <c r="K891" s="13"/>
    </row>
    <row r="892" spans="1:11" x14ac:dyDescent="0.25">
      <c r="A892" s="3" t="str">
        <f>"00555007102"</f>
        <v>00555007102</v>
      </c>
      <c r="B892" s="3" t="s">
        <v>1257</v>
      </c>
      <c r="C892" s="3" t="s">
        <v>1258</v>
      </c>
      <c r="D892" s="3">
        <v>100</v>
      </c>
      <c r="E892" s="4" t="s">
        <v>11</v>
      </c>
      <c r="F892" s="5">
        <v>300</v>
      </c>
      <c r="G892" s="3">
        <v>100</v>
      </c>
      <c r="I892" s="7"/>
      <c r="J892" s="8"/>
      <c r="K892" s="9"/>
    </row>
    <row r="893" spans="1:11" x14ac:dyDescent="0.25">
      <c r="A893" t="str">
        <f>"51079008320"</f>
        <v>51079008320</v>
      </c>
      <c r="B893" t="s">
        <v>1257</v>
      </c>
      <c r="C893" t="s">
        <v>1259</v>
      </c>
      <c r="D893">
        <v>100</v>
      </c>
      <c r="E893" s="10" t="s">
        <v>11</v>
      </c>
      <c r="F893" s="11">
        <v>300</v>
      </c>
      <c r="G893">
        <v>100</v>
      </c>
      <c r="I893" s="12"/>
      <c r="J893" s="8"/>
      <c r="K893" s="13"/>
    </row>
    <row r="894" spans="1:11" x14ac:dyDescent="0.25">
      <c r="A894" s="3" t="str">
        <f>"00781155601"</f>
        <v>00781155601</v>
      </c>
      <c r="B894" s="3" t="s">
        <v>1260</v>
      </c>
      <c r="C894" s="3" t="s">
        <v>1261</v>
      </c>
      <c r="D894" s="3">
        <v>100</v>
      </c>
      <c r="E894" s="4" t="s">
        <v>1262</v>
      </c>
      <c r="F894" s="5">
        <v>10</v>
      </c>
      <c r="G894" s="3">
        <v>100</v>
      </c>
      <c r="I894" s="7"/>
      <c r="J894" s="8"/>
      <c r="K894" s="9"/>
    </row>
    <row r="895" spans="1:11" x14ac:dyDescent="0.25">
      <c r="A895" t="str">
        <f>"00781169501"</f>
        <v>00781169501</v>
      </c>
      <c r="B895" t="s">
        <v>1260</v>
      </c>
      <c r="C895" t="s">
        <v>1263</v>
      </c>
      <c r="D895">
        <v>100</v>
      </c>
      <c r="E895" s="10" t="s">
        <v>1262</v>
      </c>
      <c r="F895" s="11">
        <v>20</v>
      </c>
      <c r="G895">
        <v>100</v>
      </c>
      <c r="I895" s="12"/>
      <c r="J895" s="8"/>
      <c r="K895" s="13"/>
    </row>
    <row r="896" spans="1:11" x14ac:dyDescent="0.25">
      <c r="A896" s="3" t="str">
        <f>"49884000901"</f>
        <v>49884000901</v>
      </c>
      <c r="B896" s="3" t="s">
        <v>1260</v>
      </c>
      <c r="C896" s="3" t="s">
        <v>1264</v>
      </c>
      <c r="D896" s="3">
        <v>100</v>
      </c>
      <c r="E896" s="4" t="s">
        <v>1262</v>
      </c>
      <c r="F896" s="5">
        <v>30</v>
      </c>
      <c r="G896" s="3">
        <v>100</v>
      </c>
      <c r="I896" s="7"/>
      <c r="J896" s="8"/>
      <c r="K896" s="9"/>
    </row>
    <row r="897" spans="1:11" x14ac:dyDescent="0.25">
      <c r="A897" t="str">
        <f>"57664060088"</f>
        <v>57664060088</v>
      </c>
      <c r="B897" t="s">
        <v>1260</v>
      </c>
      <c r="C897" t="s">
        <v>1266</v>
      </c>
      <c r="D897">
        <v>100</v>
      </c>
      <c r="E897" s="10" t="s">
        <v>33</v>
      </c>
      <c r="F897" s="11">
        <v>40</v>
      </c>
      <c r="G897">
        <v>100</v>
      </c>
      <c r="I897" s="12"/>
      <c r="J897" s="8"/>
      <c r="K897" s="13"/>
    </row>
    <row r="898" spans="1:11" x14ac:dyDescent="0.25">
      <c r="A898" s="3" t="str">
        <f>"00143176901"</f>
        <v>00143176901</v>
      </c>
      <c r="B898" s="3" t="s">
        <v>1260</v>
      </c>
      <c r="C898" s="3" t="s">
        <v>1265</v>
      </c>
      <c r="D898" s="3">
        <v>100</v>
      </c>
      <c r="E898" s="4" t="s">
        <v>1262</v>
      </c>
      <c r="F898" s="5">
        <v>5</v>
      </c>
      <c r="G898" s="3">
        <v>100</v>
      </c>
      <c r="I898" s="7"/>
      <c r="J898" s="8"/>
      <c r="K898" s="9"/>
    </row>
    <row r="899" spans="1:11" x14ac:dyDescent="0.25">
      <c r="A899" t="str">
        <f>"62175012837"</f>
        <v>62175012837</v>
      </c>
      <c r="B899" t="s">
        <v>1267</v>
      </c>
      <c r="C899" t="s">
        <v>1268</v>
      </c>
      <c r="D899">
        <v>100</v>
      </c>
      <c r="E899" s="10" t="s">
        <v>33</v>
      </c>
      <c r="F899" s="11">
        <v>30</v>
      </c>
      <c r="G899">
        <v>100</v>
      </c>
      <c r="I899" s="12"/>
      <c r="J899" s="8"/>
      <c r="K899" s="13"/>
    </row>
    <row r="900" spans="1:11" x14ac:dyDescent="0.25">
      <c r="A900" s="3" t="str">
        <f>"62175011937"</f>
        <v>62175011937</v>
      </c>
      <c r="B900" s="3" t="s">
        <v>1267</v>
      </c>
      <c r="C900" s="3" t="s">
        <v>1269</v>
      </c>
      <c r="D900" s="3">
        <v>100</v>
      </c>
      <c r="E900" s="4" t="s">
        <v>33</v>
      </c>
      <c r="F900" s="5">
        <v>60</v>
      </c>
      <c r="G900" s="3">
        <v>100</v>
      </c>
      <c r="I900" s="7"/>
      <c r="J900" s="8"/>
      <c r="K900" s="9"/>
    </row>
    <row r="901" spans="1:11" x14ac:dyDescent="0.25">
      <c r="A901" t="str">
        <f>"10147170007"</f>
        <v>10147170007</v>
      </c>
      <c r="B901" t="s">
        <v>1270</v>
      </c>
      <c r="C901" t="s">
        <v>1271</v>
      </c>
      <c r="D901">
        <v>28</v>
      </c>
      <c r="E901" s="10" t="s">
        <v>11</v>
      </c>
      <c r="F901" s="11">
        <v>100</v>
      </c>
      <c r="G901">
        <v>28</v>
      </c>
      <c r="I901" s="12"/>
      <c r="J901" s="8"/>
      <c r="K901" s="13"/>
    </row>
    <row r="902" spans="1:11" x14ac:dyDescent="0.25">
      <c r="A902" s="3" t="str">
        <f>"00832121100"</f>
        <v>00832121100</v>
      </c>
      <c r="B902" s="3" t="s">
        <v>1272</v>
      </c>
      <c r="C902" s="3" t="s">
        <v>1273</v>
      </c>
      <c r="D902" s="3">
        <v>100</v>
      </c>
      <c r="E902" s="4" t="s">
        <v>11</v>
      </c>
      <c r="F902" s="5">
        <v>1</v>
      </c>
      <c r="G902" s="3">
        <v>100</v>
      </c>
      <c r="I902" s="7"/>
      <c r="J902" s="8"/>
      <c r="K902" s="9"/>
    </row>
    <row r="903" spans="1:11" x14ac:dyDescent="0.25">
      <c r="A903" t="str">
        <f>"00832121101"</f>
        <v>00832121101</v>
      </c>
      <c r="B903" t="s">
        <v>1272</v>
      </c>
      <c r="C903" t="s">
        <v>1274</v>
      </c>
      <c r="D903">
        <v>100</v>
      </c>
      <c r="E903" s="10" t="s">
        <v>11</v>
      </c>
      <c r="F903" s="11">
        <v>1</v>
      </c>
      <c r="G903">
        <v>100</v>
      </c>
      <c r="I903" s="12"/>
      <c r="J903" s="8"/>
      <c r="K903" s="13"/>
    </row>
    <row r="904" spans="1:11" x14ac:dyDescent="0.25">
      <c r="A904" s="3" t="str">
        <f>"00832121900"</f>
        <v>00832121900</v>
      </c>
      <c r="B904" s="3" t="s">
        <v>1272</v>
      </c>
      <c r="C904" s="3" t="s">
        <v>1275</v>
      </c>
      <c r="D904" s="3">
        <v>100</v>
      </c>
      <c r="E904" s="4" t="s">
        <v>11</v>
      </c>
      <c r="F904" s="5">
        <v>10</v>
      </c>
      <c r="G904" s="3">
        <v>100</v>
      </c>
      <c r="I904" s="7"/>
      <c r="J904" s="8"/>
      <c r="K904" s="9"/>
    </row>
    <row r="905" spans="1:11" x14ac:dyDescent="0.25">
      <c r="A905" t="str">
        <f>"00832121200"</f>
        <v>00832121200</v>
      </c>
      <c r="B905" t="s">
        <v>1272</v>
      </c>
      <c r="C905" t="s">
        <v>1276</v>
      </c>
      <c r="D905">
        <v>100</v>
      </c>
      <c r="E905" s="10" t="s">
        <v>11</v>
      </c>
      <c r="F905" s="11">
        <v>2</v>
      </c>
      <c r="G905">
        <v>100</v>
      </c>
      <c r="I905" s="12"/>
      <c r="J905" s="8"/>
      <c r="K905" s="13"/>
    </row>
    <row r="906" spans="1:11" x14ac:dyDescent="0.25">
      <c r="A906" s="3" t="str">
        <f>"00832121300"</f>
        <v>00832121300</v>
      </c>
      <c r="B906" s="3" t="s">
        <v>1272</v>
      </c>
      <c r="C906" s="3" t="s">
        <v>1277</v>
      </c>
      <c r="D906" s="3">
        <v>100</v>
      </c>
      <c r="E906" s="4" t="s">
        <v>11</v>
      </c>
      <c r="F906" s="5">
        <v>2.5</v>
      </c>
      <c r="G906" s="3">
        <v>100</v>
      </c>
      <c r="I906" s="7"/>
      <c r="J906" s="8"/>
      <c r="K906" s="9"/>
    </row>
    <row r="907" spans="1:11" x14ac:dyDescent="0.25">
      <c r="A907" t="str">
        <f>"00832121301"</f>
        <v>00832121301</v>
      </c>
      <c r="B907" t="s">
        <v>1272</v>
      </c>
      <c r="C907" t="s">
        <v>1278</v>
      </c>
      <c r="D907">
        <v>100</v>
      </c>
      <c r="E907" s="10" t="s">
        <v>11</v>
      </c>
      <c r="F907" s="11">
        <v>2.5</v>
      </c>
      <c r="G907">
        <v>100</v>
      </c>
      <c r="I907" s="12"/>
      <c r="J907" s="8"/>
      <c r="K907" s="13"/>
    </row>
    <row r="908" spans="1:11" x14ac:dyDescent="0.25">
      <c r="A908" s="3" t="str">
        <f>"00832121400"</f>
        <v>00832121400</v>
      </c>
      <c r="B908" s="3" t="s">
        <v>1272</v>
      </c>
      <c r="C908" s="3" t="s">
        <v>1279</v>
      </c>
      <c r="D908" s="3">
        <v>100</v>
      </c>
      <c r="E908" s="4" t="s">
        <v>11</v>
      </c>
      <c r="F908" s="5">
        <v>3</v>
      </c>
      <c r="G908" s="3">
        <v>100</v>
      </c>
      <c r="I908" s="7"/>
      <c r="J908" s="8"/>
      <c r="K908" s="9"/>
    </row>
    <row r="909" spans="1:11" x14ac:dyDescent="0.25">
      <c r="A909" t="str">
        <f>"00832121401"</f>
        <v>00832121401</v>
      </c>
      <c r="B909" t="s">
        <v>1272</v>
      </c>
      <c r="C909" t="s">
        <v>1280</v>
      </c>
      <c r="D909">
        <v>100</v>
      </c>
      <c r="E909" s="10" t="s">
        <v>11</v>
      </c>
      <c r="F909" s="11">
        <v>3</v>
      </c>
      <c r="G909">
        <v>100</v>
      </c>
      <c r="I909" s="12"/>
      <c r="J909" s="8"/>
      <c r="K909" s="13"/>
    </row>
    <row r="910" spans="1:11" x14ac:dyDescent="0.25">
      <c r="A910" s="3" t="str">
        <f>"00832121500"</f>
        <v>00832121500</v>
      </c>
      <c r="B910" s="3" t="s">
        <v>1272</v>
      </c>
      <c r="C910" s="3" t="s">
        <v>1281</v>
      </c>
      <c r="D910" s="3">
        <v>100</v>
      </c>
      <c r="E910" s="4" t="s">
        <v>11</v>
      </c>
      <c r="F910" s="5">
        <v>4</v>
      </c>
      <c r="G910" s="3">
        <v>100</v>
      </c>
      <c r="I910" s="7"/>
      <c r="J910" s="8"/>
      <c r="K910" s="9"/>
    </row>
    <row r="911" spans="1:11" x14ac:dyDescent="0.25">
      <c r="A911" t="str">
        <f>"00832121501"</f>
        <v>00832121501</v>
      </c>
      <c r="B911" t="s">
        <v>1272</v>
      </c>
      <c r="C911" t="s">
        <v>1282</v>
      </c>
      <c r="D911">
        <v>100</v>
      </c>
      <c r="E911" s="10" t="s">
        <v>11</v>
      </c>
      <c r="F911" s="11">
        <v>4</v>
      </c>
      <c r="G911">
        <v>100</v>
      </c>
      <c r="I911" s="12"/>
      <c r="J911" s="8"/>
      <c r="K911" s="13"/>
    </row>
    <row r="912" spans="1:11" x14ac:dyDescent="0.25">
      <c r="A912" s="3" t="str">
        <f>"00832121600"</f>
        <v>00832121600</v>
      </c>
      <c r="B912" s="3" t="s">
        <v>1272</v>
      </c>
      <c r="C912" s="3" t="s">
        <v>1283</v>
      </c>
      <c r="D912" s="3">
        <v>100</v>
      </c>
      <c r="E912" s="4" t="s">
        <v>11</v>
      </c>
      <c r="F912" s="5">
        <v>5</v>
      </c>
      <c r="G912" s="3">
        <v>100</v>
      </c>
      <c r="I912" s="7"/>
      <c r="J912" s="8"/>
      <c r="K912" s="9"/>
    </row>
    <row r="913" spans="1:11" x14ac:dyDescent="0.25">
      <c r="A913" t="str">
        <f>"00832121601"</f>
        <v>00832121601</v>
      </c>
      <c r="B913" t="s">
        <v>1272</v>
      </c>
      <c r="C913" t="s">
        <v>1284</v>
      </c>
      <c r="D913">
        <v>100</v>
      </c>
      <c r="E913" s="10" t="s">
        <v>11</v>
      </c>
      <c r="F913" s="11">
        <v>5</v>
      </c>
      <c r="G913">
        <v>100</v>
      </c>
      <c r="I913" s="12"/>
      <c r="J913" s="8"/>
      <c r="K913" s="13"/>
    </row>
    <row r="914" spans="1:11" x14ac:dyDescent="0.25">
      <c r="A914" s="3" t="str">
        <f>"00832121701"</f>
        <v>00832121701</v>
      </c>
      <c r="B914" s="3" t="s">
        <v>1272</v>
      </c>
      <c r="C914" s="3" t="s">
        <v>1285</v>
      </c>
      <c r="D914" s="3">
        <v>100</v>
      </c>
      <c r="E914" s="4" t="s">
        <v>11</v>
      </c>
      <c r="F914" s="5">
        <v>6</v>
      </c>
      <c r="G914" s="3">
        <v>100</v>
      </c>
      <c r="I914" s="7"/>
      <c r="J914" s="8"/>
      <c r="K914" s="9"/>
    </row>
    <row r="915" spans="1:11" x14ac:dyDescent="0.25">
      <c r="A915" t="str">
        <f>"00832121800"</f>
        <v>00832121800</v>
      </c>
      <c r="B915" t="s">
        <v>1272</v>
      </c>
      <c r="C915" t="s">
        <v>1286</v>
      </c>
      <c r="D915">
        <v>100</v>
      </c>
      <c r="E915" s="10" t="s">
        <v>11</v>
      </c>
      <c r="F915" s="11">
        <v>7.5</v>
      </c>
      <c r="G915">
        <v>100</v>
      </c>
      <c r="I915" s="12"/>
      <c r="J915" s="8"/>
      <c r="K915" s="13"/>
    </row>
    <row r="916" spans="1:11" x14ac:dyDescent="0.25">
      <c r="A916" s="3" t="str">
        <f>"00006027731"</f>
        <v>00006027731</v>
      </c>
      <c r="B916" s="3" t="s">
        <v>1287</v>
      </c>
      <c r="C916" s="3" t="s">
        <v>1288</v>
      </c>
      <c r="D916" s="3">
        <v>30</v>
      </c>
      <c r="E916" s="4" t="s">
        <v>11</v>
      </c>
      <c r="F916" s="5">
        <v>100</v>
      </c>
      <c r="G916" s="3">
        <v>30</v>
      </c>
      <c r="I916" s="7"/>
      <c r="J916" s="8"/>
      <c r="K916" s="9"/>
    </row>
    <row r="917" spans="1:11" x14ac:dyDescent="0.25">
      <c r="A917" t="str">
        <f>"00074679922"</f>
        <v>00074679922</v>
      </c>
      <c r="B917" t="s">
        <v>1289</v>
      </c>
      <c r="C917" t="s">
        <v>1290</v>
      </c>
      <c r="D917">
        <v>120</v>
      </c>
      <c r="E917" s="10" t="s">
        <v>1291</v>
      </c>
      <c r="F917" s="11" t="s">
        <v>658</v>
      </c>
      <c r="G917">
        <v>120</v>
      </c>
      <c r="I917" s="12"/>
      <c r="J917" s="8"/>
      <c r="K917" s="13"/>
    </row>
    <row r="918" spans="1:11" x14ac:dyDescent="0.25">
      <c r="A918" s="3" t="str">
        <f>"00003029305"</f>
        <v>00003029305</v>
      </c>
      <c r="B918" s="3" t="s">
        <v>1292</v>
      </c>
      <c r="C918" s="3" t="s">
        <v>1293</v>
      </c>
      <c r="D918" s="3">
        <v>1</v>
      </c>
      <c r="E918" s="4" t="s">
        <v>20</v>
      </c>
      <c r="F918" s="5">
        <v>40</v>
      </c>
      <c r="G918" s="3">
        <v>1</v>
      </c>
      <c r="I918" s="7"/>
      <c r="J918" s="8"/>
      <c r="K918" s="9"/>
    </row>
    <row r="919" spans="1:11" x14ac:dyDescent="0.25">
      <c r="A919" t="str">
        <f>"51672129801"</f>
        <v>51672129801</v>
      </c>
      <c r="B919" t="s">
        <v>1294</v>
      </c>
      <c r="C919" t="s">
        <v>1295</v>
      </c>
      <c r="D919">
        <v>15</v>
      </c>
      <c r="E919" s="10" t="s">
        <v>43</v>
      </c>
      <c r="F919" s="11">
        <v>2</v>
      </c>
      <c r="G919">
        <v>15</v>
      </c>
      <c r="I919" s="12"/>
      <c r="J919" s="8"/>
      <c r="K919" s="13"/>
    </row>
    <row r="920" spans="1:11" x14ac:dyDescent="0.25">
      <c r="A920" s="3" t="str">
        <f>"45802046564"</f>
        <v>45802046564</v>
      </c>
      <c r="B920" s="3" t="s">
        <v>1294</v>
      </c>
      <c r="C920" s="3" t="s">
        <v>1296</v>
      </c>
      <c r="D920" s="3">
        <v>120</v>
      </c>
      <c r="E920" s="4" t="s">
        <v>43</v>
      </c>
      <c r="F920" s="5">
        <v>2</v>
      </c>
      <c r="G920" s="3">
        <v>120</v>
      </c>
      <c r="I920" s="7"/>
      <c r="J920" s="8"/>
      <c r="K920" s="9"/>
    </row>
    <row r="921" spans="1:11" x14ac:dyDescent="0.25">
      <c r="A921" t="str">
        <f>"00378026101"</f>
        <v>00378026101</v>
      </c>
      <c r="B921" t="s">
        <v>1294</v>
      </c>
      <c r="C921" t="s">
        <v>1297</v>
      </c>
      <c r="D921">
        <v>100</v>
      </c>
      <c r="E921" s="10" t="s">
        <v>11</v>
      </c>
      <c r="F921" s="11">
        <v>200</v>
      </c>
      <c r="G921">
        <v>100</v>
      </c>
      <c r="I921" s="12"/>
      <c r="J921" s="8"/>
      <c r="K921" s="13"/>
    </row>
    <row r="922" spans="1:11" x14ac:dyDescent="0.25">
      <c r="A922" s="3" t="str">
        <f>"00409379501"</f>
        <v>00409379501</v>
      </c>
      <c r="B922" s="3" t="s">
        <v>1298</v>
      </c>
      <c r="C922" s="3" t="s">
        <v>1299</v>
      </c>
      <c r="D922" s="3">
        <v>25</v>
      </c>
      <c r="E922" s="4" t="s">
        <v>20</v>
      </c>
      <c r="F922" s="5">
        <v>30</v>
      </c>
      <c r="G922" s="3">
        <v>1</v>
      </c>
      <c r="I922" s="7"/>
      <c r="J922" s="8"/>
      <c r="K922" s="9"/>
    </row>
    <row r="923" spans="1:11" x14ac:dyDescent="0.25">
      <c r="A923" t="str">
        <f>"00548902100"</f>
        <v>00548902100</v>
      </c>
      <c r="B923" t="s">
        <v>1298</v>
      </c>
      <c r="C923" t="s">
        <v>1300</v>
      </c>
      <c r="D923">
        <v>10</v>
      </c>
      <c r="E923" s="10" t="s">
        <v>11</v>
      </c>
      <c r="F923" s="11">
        <v>30</v>
      </c>
      <c r="G923">
        <v>1</v>
      </c>
      <c r="I923" s="12"/>
      <c r="J923" s="8"/>
      <c r="K923" s="13"/>
    </row>
    <row r="924" spans="1:11" x14ac:dyDescent="0.25">
      <c r="A924" s="3" t="str">
        <f>"60758077305"</f>
        <v>60758077305</v>
      </c>
      <c r="B924" s="3" t="s">
        <v>1298</v>
      </c>
      <c r="C924" s="3" t="s">
        <v>1301</v>
      </c>
      <c r="D924" s="3">
        <v>5</v>
      </c>
      <c r="E924" s="4" t="s">
        <v>43</v>
      </c>
      <c r="F924" s="5">
        <v>0.4</v>
      </c>
      <c r="G924" s="3">
        <v>5</v>
      </c>
      <c r="I924" s="7"/>
      <c r="J924" s="8"/>
      <c r="K924" s="9"/>
    </row>
    <row r="925" spans="1:11" x14ac:dyDescent="0.25">
      <c r="A925" t="str">
        <f>"17478020910"</f>
        <v>17478020910</v>
      </c>
      <c r="B925" t="s">
        <v>1298</v>
      </c>
      <c r="C925" t="s">
        <v>1302</v>
      </c>
      <c r="D925">
        <v>5</v>
      </c>
      <c r="E925" s="10" t="s">
        <v>43</v>
      </c>
      <c r="F925" s="11">
        <v>0.5</v>
      </c>
      <c r="G925">
        <v>5</v>
      </c>
      <c r="I925" s="12"/>
      <c r="J925" s="8"/>
      <c r="K925" s="13"/>
    </row>
    <row r="926" spans="1:11" x14ac:dyDescent="0.25">
      <c r="A926" s="3" t="str">
        <f>"61314012605"</f>
        <v>61314012605</v>
      </c>
      <c r="B926" s="3" t="s">
        <v>1298</v>
      </c>
      <c r="C926" s="3" t="s">
        <v>1302</v>
      </c>
      <c r="D926" s="3">
        <v>5</v>
      </c>
      <c r="E926" s="4" t="s">
        <v>43</v>
      </c>
      <c r="F926" s="5">
        <v>0.5</v>
      </c>
      <c r="G926" s="3">
        <v>5</v>
      </c>
      <c r="I926" s="7"/>
      <c r="J926" s="8"/>
      <c r="K926" s="9"/>
    </row>
    <row r="927" spans="1:11" x14ac:dyDescent="0.25">
      <c r="A927" t="str">
        <f>"00409379301"</f>
        <v>00409379301</v>
      </c>
      <c r="B927" t="s">
        <v>1298</v>
      </c>
      <c r="C927" t="s">
        <v>1303</v>
      </c>
      <c r="D927">
        <v>25</v>
      </c>
      <c r="E927" s="10" t="s">
        <v>11</v>
      </c>
      <c r="F927" s="11">
        <v>15</v>
      </c>
      <c r="G927">
        <v>1</v>
      </c>
      <c r="I927" s="12"/>
      <c r="J927" s="8"/>
      <c r="K927" s="13"/>
    </row>
    <row r="928" spans="1:11" x14ac:dyDescent="0.25">
      <c r="A928" s="3" t="str">
        <f>"00409379601"</f>
        <v>00409379601</v>
      </c>
      <c r="B928" s="3" t="s">
        <v>1298</v>
      </c>
      <c r="C928" s="3" t="s">
        <v>1304</v>
      </c>
      <c r="D928" s="3">
        <v>50</v>
      </c>
      <c r="E928" s="4" t="s">
        <v>11</v>
      </c>
      <c r="F928" s="5">
        <v>60</v>
      </c>
      <c r="G928" s="3">
        <v>2</v>
      </c>
      <c r="I928" s="7"/>
      <c r="J928" s="8"/>
      <c r="K928" s="9"/>
    </row>
    <row r="929" spans="1:11" x14ac:dyDescent="0.25">
      <c r="A929" t="str">
        <f>"66658023407"</f>
        <v>66658023407</v>
      </c>
      <c r="B929" t="s">
        <v>1305</v>
      </c>
      <c r="C929" t="s">
        <v>1306</v>
      </c>
      <c r="D929">
        <v>4.6900000000000004</v>
      </c>
      <c r="E929" s="10" t="s">
        <v>11</v>
      </c>
      <c r="F929" s="11">
        <v>100</v>
      </c>
      <c r="G929">
        <v>0.67</v>
      </c>
      <c r="I929" s="12"/>
      <c r="J929" s="8"/>
      <c r="K929" s="13"/>
    </row>
    <row r="930" spans="1:11" x14ac:dyDescent="0.25">
      <c r="A930" s="3" t="str">
        <f>"00026378665"</f>
        <v>00026378665</v>
      </c>
      <c r="B930" s="3" t="s">
        <v>1307</v>
      </c>
      <c r="C930" s="3" t="s">
        <v>1308</v>
      </c>
      <c r="D930" s="3">
        <v>0</v>
      </c>
      <c r="E930" s="4" t="s">
        <v>1309</v>
      </c>
      <c r="F930" s="5">
        <v>2023</v>
      </c>
      <c r="G930" s="3">
        <v>1</v>
      </c>
      <c r="I930" s="7"/>
      <c r="J930" s="8"/>
      <c r="K930" s="9"/>
    </row>
    <row r="931" spans="1:11" x14ac:dyDescent="0.25">
      <c r="A931" t="str">
        <f>"00224180184"</f>
        <v>00224180184</v>
      </c>
      <c r="B931" t="s">
        <v>1310</v>
      </c>
      <c r="C931" t="s">
        <v>1311</v>
      </c>
      <c r="D931">
        <v>30</v>
      </c>
      <c r="G931">
        <v>30</v>
      </c>
      <c r="I931" s="12"/>
      <c r="J931" s="8"/>
      <c r="K931" s="13"/>
    </row>
    <row r="932" spans="1:11" x14ac:dyDescent="0.25">
      <c r="A932" s="3" t="str">
        <f>"00185001001"</f>
        <v>00185001001</v>
      </c>
      <c r="B932" s="3" t="s">
        <v>1312</v>
      </c>
      <c r="C932" s="3" t="s">
        <v>1313</v>
      </c>
      <c r="D932" s="3">
        <v>100</v>
      </c>
      <c r="E932" s="4" t="s">
        <v>11</v>
      </c>
      <c r="F932" s="5">
        <v>100</v>
      </c>
      <c r="G932" s="3">
        <v>100</v>
      </c>
      <c r="I932" s="7"/>
      <c r="J932" s="8"/>
      <c r="K932" s="9"/>
    </row>
    <row r="933" spans="1:11" x14ac:dyDescent="0.25">
      <c r="A933" t="str">
        <f>"68001020503"</f>
        <v>68001020503</v>
      </c>
      <c r="B933" t="s">
        <v>1312</v>
      </c>
      <c r="C933" t="s">
        <v>1315</v>
      </c>
      <c r="D933">
        <v>500</v>
      </c>
      <c r="E933" s="10" t="s">
        <v>11</v>
      </c>
      <c r="F933" s="11">
        <v>100</v>
      </c>
      <c r="G933">
        <v>500</v>
      </c>
      <c r="I933" s="12"/>
      <c r="J933" s="8"/>
      <c r="K933" s="13"/>
    </row>
    <row r="934" spans="1:11" x14ac:dyDescent="0.25">
      <c r="A934" s="3" t="str">
        <f>"68001020400"</f>
        <v>68001020400</v>
      </c>
      <c r="B934" s="3" t="s">
        <v>1312</v>
      </c>
      <c r="C934" s="3" t="s">
        <v>1314</v>
      </c>
      <c r="D934" s="3">
        <v>100</v>
      </c>
      <c r="E934" s="4" t="s">
        <v>11</v>
      </c>
      <c r="F934" s="5">
        <v>200</v>
      </c>
      <c r="G934" s="3">
        <v>100</v>
      </c>
      <c r="I934" s="7"/>
      <c r="J934" s="8"/>
      <c r="K934" s="9"/>
    </row>
    <row r="935" spans="1:11" x14ac:dyDescent="0.25">
      <c r="A935" t="str">
        <f>"00185011801"</f>
        <v>00185011801</v>
      </c>
      <c r="B935" t="s">
        <v>1312</v>
      </c>
      <c r="C935" t="s">
        <v>1316</v>
      </c>
      <c r="D935">
        <v>100</v>
      </c>
      <c r="E935" s="10" t="s">
        <v>11</v>
      </c>
      <c r="F935" s="11">
        <v>300</v>
      </c>
      <c r="G935">
        <v>100</v>
      </c>
      <c r="I935" s="12"/>
      <c r="J935" s="8"/>
      <c r="K935" s="13"/>
    </row>
    <row r="936" spans="1:11" x14ac:dyDescent="0.25">
      <c r="A936" s="3" t="str">
        <f>"00904522452"</f>
        <v>00904522452</v>
      </c>
      <c r="B936" s="3" t="s">
        <v>1317</v>
      </c>
      <c r="C936" s="3" t="s">
        <v>1318</v>
      </c>
      <c r="D936" s="3">
        <v>60</v>
      </c>
      <c r="E936" s="4"/>
      <c r="F936" s="5"/>
      <c r="G936" s="3">
        <v>60</v>
      </c>
      <c r="I936" s="7"/>
      <c r="J936" s="8"/>
      <c r="K936" s="9"/>
    </row>
    <row r="937" spans="1:11" x14ac:dyDescent="0.25">
      <c r="A937" t="str">
        <f>"00603137858"</f>
        <v>00603137858</v>
      </c>
      <c r="B937" t="s">
        <v>1319</v>
      </c>
      <c r="C937" t="s">
        <v>1320</v>
      </c>
      <c r="D937">
        <v>473</v>
      </c>
      <c r="E937" s="10" t="s">
        <v>1321</v>
      </c>
      <c r="F937" s="11" t="s">
        <v>1322</v>
      </c>
      <c r="G937">
        <v>473</v>
      </c>
      <c r="I937" s="12"/>
      <c r="J937" s="8"/>
      <c r="K937" s="13"/>
    </row>
    <row r="938" spans="1:11" x14ac:dyDescent="0.25">
      <c r="A938" s="3" t="str">
        <f>"50383077916"</f>
        <v>50383077916</v>
      </c>
      <c r="B938" s="3" t="s">
        <v>1319</v>
      </c>
      <c r="C938" s="3" t="s">
        <v>1320</v>
      </c>
      <c r="D938" s="3">
        <v>473</v>
      </c>
      <c r="E938" s="4" t="s">
        <v>1321</v>
      </c>
      <c r="F938" s="5" t="s">
        <v>1322</v>
      </c>
      <c r="G938" s="3">
        <v>473</v>
      </c>
      <c r="I938" s="7"/>
      <c r="J938" s="8"/>
      <c r="K938" s="9"/>
    </row>
    <row r="939" spans="1:11" x14ac:dyDescent="0.25">
      <c r="A939" t="str">
        <f>"31722075260"</f>
        <v>31722075260</v>
      </c>
      <c r="B939" t="s">
        <v>844</v>
      </c>
      <c r="C939" t="s">
        <v>1323</v>
      </c>
      <c r="D939">
        <v>60</v>
      </c>
      <c r="E939" s="10" t="s">
        <v>11</v>
      </c>
      <c r="F939" s="11">
        <v>100</v>
      </c>
      <c r="G939">
        <v>60</v>
      </c>
      <c r="I939" s="12"/>
      <c r="J939" s="8"/>
      <c r="K939" s="13"/>
    </row>
    <row r="940" spans="1:11" x14ac:dyDescent="0.25">
      <c r="A940" s="3" t="str">
        <f>"65862055260"</f>
        <v>65862055260</v>
      </c>
      <c r="B940" s="3" t="s">
        <v>844</v>
      </c>
      <c r="C940" s="3" t="s">
        <v>1324</v>
      </c>
      <c r="D940" s="3">
        <v>60</v>
      </c>
      <c r="E940" s="4" t="s">
        <v>11</v>
      </c>
      <c r="F940" s="5">
        <v>150</v>
      </c>
      <c r="G940" s="3">
        <v>60</v>
      </c>
      <c r="I940" s="7"/>
      <c r="J940" s="8"/>
      <c r="K940" s="9"/>
    </row>
    <row r="941" spans="1:11" x14ac:dyDescent="0.25">
      <c r="A941" t="str">
        <f>"65862059760"</f>
        <v>65862059760</v>
      </c>
      <c r="B941" t="s">
        <v>1325</v>
      </c>
      <c r="C941" t="s">
        <v>1326</v>
      </c>
      <c r="D941">
        <v>60</v>
      </c>
      <c r="E941" s="10" t="s">
        <v>1169</v>
      </c>
      <c r="F941" s="11" t="s">
        <v>1327</v>
      </c>
      <c r="G941">
        <v>60</v>
      </c>
      <c r="I941" s="12"/>
      <c r="J941" s="8"/>
      <c r="K941" s="13"/>
    </row>
    <row r="942" spans="1:11" x14ac:dyDescent="0.25">
      <c r="A942" s="3" t="str">
        <f>"68084031901"</f>
        <v>68084031901</v>
      </c>
      <c r="B942" s="3" t="s">
        <v>1328</v>
      </c>
      <c r="C942" s="3" t="s">
        <v>1329</v>
      </c>
      <c r="D942" s="3">
        <v>100</v>
      </c>
      <c r="E942" s="4" t="s">
        <v>11</v>
      </c>
      <c r="F942" s="5">
        <v>100</v>
      </c>
      <c r="G942" s="3">
        <v>100</v>
      </c>
      <c r="I942" s="7"/>
      <c r="J942" s="8"/>
      <c r="K942" s="9"/>
    </row>
    <row r="943" spans="1:11" x14ac:dyDescent="0.25">
      <c r="A943" t="str">
        <f>"69097014912"</f>
        <v>69097014912</v>
      </c>
      <c r="B943" t="s">
        <v>1328</v>
      </c>
      <c r="C943" t="s">
        <v>1330</v>
      </c>
      <c r="D943">
        <v>500</v>
      </c>
      <c r="E943" s="10" t="s">
        <v>11</v>
      </c>
      <c r="F943" s="11">
        <v>100</v>
      </c>
      <c r="G943">
        <v>500</v>
      </c>
      <c r="I943" s="12"/>
      <c r="J943" s="8"/>
      <c r="K943" s="13"/>
    </row>
    <row r="944" spans="1:11" x14ac:dyDescent="0.25">
      <c r="A944" s="3" t="str">
        <f>"13668004501"</f>
        <v>13668004501</v>
      </c>
      <c r="B944" s="3" t="s">
        <v>1328</v>
      </c>
      <c r="C944" s="3" t="s">
        <v>1331</v>
      </c>
      <c r="D944" s="3">
        <v>100</v>
      </c>
      <c r="E944" s="4" t="s">
        <v>11</v>
      </c>
      <c r="F944" s="5">
        <v>25</v>
      </c>
      <c r="G944" s="3">
        <v>100</v>
      </c>
      <c r="I944" s="7"/>
      <c r="J944" s="8"/>
      <c r="K944" s="9"/>
    </row>
    <row r="945" spans="1:11" x14ac:dyDescent="0.25">
      <c r="A945" t="str">
        <f>"51079049820"</f>
        <v>51079049820</v>
      </c>
      <c r="B945" t="s">
        <v>1328</v>
      </c>
      <c r="C945" t="s">
        <v>1332</v>
      </c>
      <c r="D945">
        <v>100</v>
      </c>
      <c r="E945" s="10" t="s">
        <v>11</v>
      </c>
      <c r="F945" s="11">
        <v>25</v>
      </c>
      <c r="G945">
        <v>100</v>
      </c>
      <c r="I945" s="12"/>
      <c r="J945" s="8"/>
      <c r="K945" s="13"/>
    </row>
    <row r="946" spans="1:11" x14ac:dyDescent="0.25">
      <c r="A946" s="3" t="str">
        <f>"68084031801"</f>
        <v>68084031801</v>
      </c>
      <c r="B946" s="3" t="s">
        <v>1328</v>
      </c>
      <c r="C946" s="3" t="s">
        <v>1333</v>
      </c>
      <c r="D946" s="3">
        <v>100</v>
      </c>
      <c r="E946" s="4" t="s">
        <v>11</v>
      </c>
      <c r="F946" s="5">
        <v>25</v>
      </c>
      <c r="G946" s="3">
        <v>100</v>
      </c>
      <c r="I946" s="7"/>
      <c r="J946" s="8"/>
      <c r="K946" s="9"/>
    </row>
    <row r="947" spans="1:11" x14ac:dyDescent="0.25">
      <c r="A947" t="str">
        <f>"59212024255"</f>
        <v>59212024255</v>
      </c>
      <c r="B947" t="s">
        <v>699</v>
      </c>
      <c r="C947" t="s">
        <v>1334</v>
      </c>
      <c r="D947">
        <v>100</v>
      </c>
      <c r="E947" s="10" t="s">
        <v>11</v>
      </c>
      <c r="F947" s="11">
        <v>0.125</v>
      </c>
      <c r="G947">
        <v>100</v>
      </c>
      <c r="I947" s="12"/>
      <c r="J947" s="8"/>
      <c r="K947" s="13"/>
    </row>
    <row r="948" spans="1:11" x14ac:dyDescent="0.25">
      <c r="A948" s="3" t="str">
        <f>"59212024955"</f>
        <v>59212024955</v>
      </c>
      <c r="B948" s="3" t="s">
        <v>699</v>
      </c>
      <c r="C948" s="3" t="s">
        <v>1335</v>
      </c>
      <c r="D948" s="3">
        <v>100</v>
      </c>
      <c r="E948" s="4" t="s">
        <v>11</v>
      </c>
      <c r="F948" s="5">
        <v>0.25</v>
      </c>
      <c r="G948" s="3">
        <v>100</v>
      </c>
      <c r="I948" s="7"/>
      <c r="J948" s="8"/>
      <c r="K948" s="9"/>
    </row>
    <row r="949" spans="1:11" x14ac:dyDescent="0.25">
      <c r="A949" t="str">
        <f>"00378803093"</f>
        <v>00378803093</v>
      </c>
      <c r="B949" t="s">
        <v>1336</v>
      </c>
      <c r="C949" t="s">
        <v>1337</v>
      </c>
      <c r="D949">
        <v>30</v>
      </c>
      <c r="E949" s="10" t="s">
        <v>648</v>
      </c>
      <c r="F949" s="11">
        <v>30</v>
      </c>
      <c r="G949">
        <v>30</v>
      </c>
      <c r="I949" s="12"/>
      <c r="J949" s="8"/>
      <c r="K949" s="13"/>
    </row>
    <row r="950" spans="1:11" x14ac:dyDescent="0.25">
      <c r="A950" s="3" t="str">
        <f>"00088222033"</f>
        <v>00088222033</v>
      </c>
      <c r="B950" s="3" t="s">
        <v>1338</v>
      </c>
      <c r="C950" s="3" t="s">
        <v>1339</v>
      </c>
      <c r="D950" s="3">
        <v>10</v>
      </c>
      <c r="E950" s="4" t="s">
        <v>805</v>
      </c>
      <c r="F950" s="5" t="s">
        <v>1340</v>
      </c>
      <c r="G950" s="3">
        <v>10</v>
      </c>
      <c r="I950" s="7"/>
      <c r="J950" s="8"/>
      <c r="K950" s="9"/>
    </row>
    <row r="951" spans="1:11" x14ac:dyDescent="0.25">
      <c r="A951" t="str">
        <f>"61314054701"</f>
        <v>61314054701</v>
      </c>
      <c r="B951" t="s">
        <v>1341</v>
      </c>
      <c r="C951" t="s">
        <v>1342</v>
      </c>
      <c r="D951">
        <v>2.5</v>
      </c>
      <c r="E951" s="10">
        <v>5.0000000000000002E-5</v>
      </c>
      <c r="G951">
        <v>2.5</v>
      </c>
      <c r="I951" s="12"/>
      <c r="J951" s="8"/>
      <c r="K951" s="13"/>
    </row>
    <row r="952" spans="1:11" x14ac:dyDescent="0.25">
      <c r="A952" s="3" t="str">
        <f>"59762033302"</f>
        <v>59762033302</v>
      </c>
      <c r="B952" s="3" t="s">
        <v>1341</v>
      </c>
      <c r="C952" s="3" t="s">
        <v>1342</v>
      </c>
      <c r="D952" s="3">
        <v>2.5</v>
      </c>
      <c r="E952" s="4">
        <v>5.0000000000000002E-5</v>
      </c>
      <c r="F952" s="5"/>
      <c r="G952" s="3">
        <v>2.5</v>
      </c>
      <c r="I952" s="7"/>
      <c r="J952" s="8"/>
      <c r="K952" s="9"/>
    </row>
    <row r="953" spans="1:11" x14ac:dyDescent="0.25">
      <c r="A953" t="str">
        <f>"63402031230"</f>
        <v>63402031230</v>
      </c>
      <c r="B953" t="s">
        <v>1343</v>
      </c>
      <c r="C953" t="s">
        <v>1344</v>
      </c>
      <c r="D953">
        <v>30</v>
      </c>
      <c r="E953" s="10" t="s">
        <v>11</v>
      </c>
      <c r="F953" s="11">
        <v>120</v>
      </c>
      <c r="G953">
        <v>30</v>
      </c>
      <c r="I953" s="12"/>
      <c r="J953" s="8"/>
      <c r="K953" s="13"/>
    </row>
    <row r="954" spans="1:11" x14ac:dyDescent="0.25">
      <c r="A954" s="3" t="str">
        <f>"63402030230"</f>
        <v>63402030230</v>
      </c>
      <c r="B954" s="3" t="s">
        <v>1343</v>
      </c>
      <c r="C954" s="3" t="s">
        <v>1345</v>
      </c>
      <c r="D954" s="3">
        <v>30</v>
      </c>
      <c r="E954" s="4" t="s">
        <v>11</v>
      </c>
      <c r="F954" s="5">
        <v>20</v>
      </c>
      <c r="G954" s="3">
        <v>30</v>
      </c>
      <c r="I954" s="7"/>
      <c r="J954" s="8"/>
      <c r="K954" s="9"/>
    </row>
    <row r="955" spans="1:11" x14ac:dyDescent="0.25">
      <c r="A955" t="str">
        <f>"63402030430"</f>
        <v>63402030430</v>
      </c>
      <c r="B955" t="s">
        <v>1343</v>
      </c>
      <c r="C955" t="s">
        <v>1346</v>
      </c>
      <c r="D955">
        <v>30</v>
      </c>
      <c r="E955" s="10" t="s">
        <v>11</v>
      </c>
      <c r="F955" s="11">
        <v>40</v>
      </c>
      <c r="G955">
        <v>30</v>
      </c>
      <c r="I955" s="12"/>
      <c r="J955" s="8"/>
      <c r="K955" s="13"/>
    </row>
    <row r="956" spans="1:11" x14ac:dyDescent="0.25">
      <c r="A956" s="3" t="str">
        <f>"63402030830"</f>
        <v>63402030830</v>
      </c>
      <c r="B956" s="3" t="s">
        <v>1343</v>
      </c>
      <c r="C956" s="3" t="s">
        <v>1347</v>
      </c>
      <c r="D956" s="3">
        <v>30</v>
      </c>
      <c r="E956" s="4" t="s">
        <v>11</v>
      </c>
      <c r="F956" s="5">
        <v>80</v>
      </c>
      <c r="G956" s="3">
        <v>30</v>
      </c>
      <c r="I956" s="7"/>
      <c r="J956" s="8"/>
      <c r="K956" s="9"/>
    </row>
    <row r="957" spans="1:11" x14ac:dyDescent="0.25">
      <c r="A957" t="str">
        <f>"23155004303"</f>
        <v>23155004303</v>
      </c>
      <c r="B957" t="s">
        <v>1348</v>
      </c>
      <c r="C957" t="s">
        <v>1349</v>
      </c>
      <c r="D957">
        <v>30</v>
      </c>
      <c r="E957" s="10" t="s">
        <v>11</v>
      </c>
      <c r="F957" s="11">
        <v>10</v>
      </c>
      <c r="G957">
        <v>30</v>
      </c>
      <c r="I957" s="12"/>
      <c r="J957" s="8"/>
      <c r="K957" s="13"/>
    </row>
    <row r="958" spans="1:11" x14ac:dyDescent="0.25">
      <c r="A958" s="3" t="str">
        <f>"13811067730"</f>
        <v>13811067730</v>
      </c>
      <c r="B958" s="3" t="s">
        <v>1348</v>
      </c>
      <c r="C958" s="3" t="s">
        <v>1350</v>
      </c>
      <c r="D958" s="3">
        <v>30</v>
      </c>
      <c r="E958" s="4" t="s">
        <v>11</v>
      </c>
      <c r="F958" s="5">
        <v>10</v>
      </c>
      <c r="G958" s="3">
        <v>30</v>
      </c>
      <c r="I958" s="7"/>
      <c r="J958" s="8"/>
      <c r="K958" s="9"/>
    </row>
    <row r="959" spans="1:11" x14ac:dyDescent="0.25">
      <c r="A959" t="str">
        <f>"00054449625"</f>
        <v>00054449625</v>
      </c>
      <c r="B959" t="s">
        <v>1351</v>
      </c>
      <c r="C959" t="s">
        <v>1352</v>
      </c>
      <c r="D959">
        <v>100</v>
      </c>
      <c r="E959" s="10" t="s">
        <v>11</v>
      </c>
      <c r="F959" s="11">
        <v>5</v>
      </c>
      <c r="G959">
        <v>100</v>
      </c>
      <c r="I959" s="12"/>
      <c r="J959" s="8"/>
      <c r="K959" s="13"/>
    </row>
    <row r="960" spans="1:11" x14ac:dyDescent="0.25">
      <c r="A960" s="3" t="str">
        <f>"00169368712"</f>
        <v>00169368712</v>
      </c>
      <c r="B960" s="3" t="s">
        <v>1353</v>
      </c>
      <c r="C960" s="3" t="s">
        <v>1354</v>
      </c>
      <c r="D960" s="3">
        <v>10</v>
      </c>
      <c r="E960" s="4" t="s">
        <v>805</v>
      </c>
      <c r="F960" s="5" t="s">
        <v>1340</v>
      </c>
      <c r="G960" s="3">
        <v>10</v>
      </c>
      <c r="I960" s="7"/>
      <c r="J960" s="8"/>
      <c r="K960" s="9"/>
    </row>
    <row r="961" spans="1:11" x14ac:dyDescent="0.25">
      <c r="A961" t="str">
        <f>"31722057447"</f>
        <v>31722057447</v>
      </c>
      <c r="B961" t="s">
        <v>1355</v>
      </c>
      <c r="C961" t="s">
        <v>1356</v>
      </c>
      <c r="D961">
        <v>473</v>
      </c>
      <c r="E961" s="10" t="s">
        <v>955</v>
      </c>
      <c r="F961" s="11">
        <v>100</v>
      </c>
      <c r="G961">
        <v>473</v>
      </c>
      <c r="I961" s="12"/>
      <c r="J961" s="8"/>
      <c r="K961" s="13"/>
    </row>
    <row r="962" spans="1:11" x14ac:dyDescent="0.25">
      <c r="A962" s="3" t="str">
        <f>"68001011607"</f>
        <v>68001011607</v>
      </c>
      <c r="B962" s="3" t="s">
        <v>1355</v>
      </c>
      <c r="C962" s="3" t="s">
        <v>1357</v>
      </c>
      <c r="D962" s="3">
        <v>120</v>
      </c>
      <c r="E962" s="4" t="s">
        <v>11</v>
      </c>
      <c r="F962" s="5">
        <v>250</v>
      </c>
      <c r="G962" s="3">
        <v>120</v>
      </c>
      <c r="I962" s="7"/>
      <c r="J962" s="8"/>
      <c r="K962" s="9"/>
    </row>
    <row r="963" spans="1:11" x14ac:dyDescent="0.25">
      <c r="A963" t="str">
        <f>"50268046715"</f>
        <v>50268046715</v>
      </c>
      <c r="B963" t="s">
        <v>1355</v>
      </c>
      <c r="C963" t="s">
        <v>1358</v>
      </c>
      <c r="D963">
        <v>50</v>
      </c>
      <c r="E963" s="10" t="s">
        <v>11</v>
      </c>
      <c r="F963" s="11">
        <v>250</v>
      </c>
      <c r="G963">
        <v>50</v>
      </c>
      <c r="I963" s="12"/>
      <c r="J963" s="8"/>
      <c r="K963" s="13"/>
    </row>
    <row r="964" spans="1:11" x14ac:dyDescent="0.25">
      <c r="A964" s="3" t="str">
        <f>"68084085901"</f>
        <v>68084085901</v>
      </c>
      <c r="B964" s="3" t="s">
        <v>1355</v>
      </c>
      <c r="C964" s="3" t="s">
        <v>1359</v>
      </c>
      <c r="D964" s="3">
        <v>100</v>
      </c>
      <c r="E964" s="4" t="s">
        <v>11</v>
      </c>
      <c r="F964" s="5">
        <v>250</v>
      </c>
      <c r="G964" s="3">
        <v>100</v>
      </c>
      <c r="I964" s="7"/>
      <c r="J964" s="8"/>
      <c r="K964" s="9"/>
    </row>
    <row r="965" spans="1:11" x14ac:dyDescent="0.25">
      <c r="A965" t="str">
        <f>"68001011306"</f>
        <v>68001011306</v>
      </c>
      <c r="B965" t="s">
        <v>1355</v>
      </c>
      <c r="C965" t="s">
        <v>1360</v>
      </c>
      <c r="D965">
        <v>60</v>
      </c>
      <c r="E965" s="10" t="s">
        <v>33</v>
      </c>
      <c r="F965" s="11">
        <v>500</v>
      </c>
      <c r="G965">
        <v>60</v>
      </c>
      <c r="I965" s="12"/>
      <c r="J965" s="8"/>
      <c r="K965" s="13"/>
    </row>
    <row r="966" spans="1:11" x14ac:dyDescent="0.25">
      <c r="A966" s="3" t="str">
        <f>"51079082120"</f>
        <v>51079082120</v>
      </c>
      <c r="B966" s="3" t="s">
        <v>1355</v>
      </c>
      <c r="C966" s="3" t="s">
        <v>1361</v>
      </c>
      <c r="D966" s="3">
        <v>100</v>
      </c>
      <c r="E966" s="4" t="s">
        <v>11</v>
      </c>
      <c r="F966" s="5">
        <v>500</v>
      </c>
      <c r="G966" s="3">
        <v>100</v>
      </c>
      <c r="I966" s="7"/>
      <c r="J966" s="8"/>
      <c r="K966" s="9"/>
    </row>
    <row r="967" spans="1:11" x14ac:dyDescent="0.25">
      <c r="A967" t="str">
        <f>"68001011707"</f>
        <v>68001011707</v>
      </c>
      <c r="B967" t="s">
        <v>1355</v>
      </c>
      <c r="C967" t="s">
        <v>1362</v>
      </c>
      <c r="D967">
        <v>120</v>
      </c>
      <c r="E967" s="10" t="s">
        <v>11</v>
      </c>
      <c r="F967" s="11">
        <v>500</v>
      </c>
      <c r="G967">
        <v>120</v>
      </c>
      <c r="I967" s="12"/>
      <c r="J967" s="8"/>
      <c r="K967" s="13"/>
    </row>
    <row r="968" spans="1:11" x14ac:dyDescent="0.25">
      <c r="A968" s="3" t="str">
        <f>"68001011703"</f>
        <v>68001011703</v>
      </c>
      <c r="B968" s="3" t="s">
        <v>1355</v>
      </c>
      <c r="C968" s="3" t="s">
        <v>1363</v>
      </c>
      <c r="D968" s="3">
        <v>500</v>
      </c>
      <c r="E968" s="4" t="s">
        <v>11</v>
      </c>
      <c r="F968" s="5">
        <v>500</v>
      </c>
      <c r="G968" s="3">
        <v>500</v>
      </c>
      <c r="I968" s="7"/>
      <c r="J968" s="8"/>
      <c r="K968" s="9"/>
    </row>
    <row r="969" spans="1:11" x14ac:dyDescent="0.25">
      <c r="A969" t="str">
        <f>"68084087001"</f>
        <v>68084087001</v>
      </c>
      <c r="B969" t="s">
        <v>1355</v>
      </c>
      <c r="C969" t="s">
        <v>1364</v>
      </c>
      <c r="D969">
        <v>100</v>
      </c>
      <c r="E969" s="10" t="s">
        <v>11</v>
      </c>
      <c r="F969" s="11">
        <v>500</v>
      </c>
      <c r="G969">
        <v>100</v>
      </c>
      <c r="I969" s="12"/>
      <c r="J969" s="8"/>
      <c r="K969" s="13"/>
    </row>
    <row r="970" spans="1:11" x14ac:dyDescent="0.25">
      <c r="A970" s="3" t="str">
        <f>"68001011807"</f>
        <v>68001011807</v>
      </c>
      <c r="B970" s="3" t="s">
        <v>1355</v>
      </c>
      <c r="C970" s="3" t="s">
        <v>1365</v>
      </c>
      <c r="D970" s="3">
        <v>120</v>
      </c>
      <c r="E970" s="4" t="s">
        <v>11</v>
      </c>
      <c r="F970" s="5">
        <v>750</v>
      </c>
      <c r="G970" s="3">
        <v>120</v>
      </c>
      <c r="I970" s="7"/>
      <c r="J970" s="8"/>
      <c r="K970" s="9"/>
    </row>
    <row r="971" spans="1:11" x14ac:dyDescent="0.25">
      <c r="A971" t="str">
        <f>"68001011803"</f>
        <v>68001011803</v>
      </c>
      <c r="B971" t="s">
        <v>1355</v>
      </c>
      <c r="C971" t="s">
        <v>1366</v>
      </c>
      <c r="D971">
        <v>500</v>
      </c>
      <c r="E971" s="10" t="s">
        <v>11</v>
      </c>
      <c r="F971" s="11">
        <v>750</v>
      </c>
      <c r="G971">
        <v>500</v>
      </c>
      <c r="I971" s="12"/>
      <c r="J971" s="8"/>
      <c r="K971" s="13"/>
    </row>
    <row r="972" spans="1:11" x14ac:dyDescent="0.25">
      <c r="A972" s="3" t="str">
        <f>"65862053650"</f>
        <v>65862053650</v>
      </c>
      <c r="B972" s="3" t="s">
        <v>1367</v>
      </c>
      <c r="C972" s="3" t="s">
        <v>1368</v>
      </c>
      <c r="D972" s="3">
        <v>50</v>
      </c>
      <c r="E972" s="4" t="s">
        <v>11</v>
      </c>
      <c r="F972" s="5">
        <v>250</v>
      </c>
      <c r="G972" s="3">
        <v>50</v>
      </c>
      <c r="I972" s="7"/>
      <c r="J972" s="8"/>
      <c r="K972" s="9"/>
    </row>
    <row r="973" spans="1:11" x14ac:dyDescent="0.25">
      <c r="A973" t="str">
        <f>"68180024101"</f>
        <v>68180024101</v>
      </c>
      <c r="B973" t="s">
        <v>1367</v>
      </c>
      <c r="C973" t="s">
        <v>1369</v>
      </c>
      <c r="D973">
        <v>100</v>
      </c>
      <c r="E973" s="10" t="s">
        <v>11</v>
      </c>
      <c r="F973" s="11">
        <v>500</v>
      </c>
      <c r="G973">
        <v>100</v>
      </c>
      <c r="I973" s="12"/>
      <c r="J973" s="8"/>
      <c r="K973" s="13"/>
    </row>
    <row r="974" spans="1:11" x14ac:dyDescent="0.25">
      <c r="A974" s="3" t="str">
        <f>"51079044220"</f>
        <v>51079044220</v>
      </c>
      <c r="B974" s="3" t="s">
        <v>1370</v>
      </c>
      <c r="C974" s="3" t="s">
        <v>1371</v>
      </c>
      <c r="D974" s="3">
        <v>100</v>
      </c>
      <c r="E974" s="4" t="s">
        <v>178</v>
      </c>
      <c r="F974" s="5">
        <v>100</v>
      </c>
      <c r="G974" s="3">
        <v>100</v>
      </c>
      <c r="I974" s="7"/>
      <c r="J974" s="8"/>
      <c r="K974" s="9"/>
    </row>
    <row r="975" spans="1:11" x14ac:dyDescent="0.25">
      <c r="A975" t="str">
        <f>"00378180910"</f>
        <v>00378180910</v>
      </c>
      <c r="B975" t="s">
        <v>1370</v>
      </c>
      <c r="C975" t="s">
        <v>1372</v>
      </c>
      <c r="D975">
        <v>1000</v>
      </c>
      <c r="E975" s="10" t="s">
        <v>178</v>
      </c>
      <c r="F975" s="11">
        <v>100</v>
      </c>
      <c r="G975">
        <v>1000</v>
      </c>
      <c r="I975" s="12"/>
      <c r="J975" s="8"/>
      <c r="K975" s="13"/>
    </row>
    <row r="976" spans="1:11" x14ac:dyDescent="0.25">
      <c r="A976" s="3" t="str">
        <f>"00378181110"</f>
        <v>00378181110</v>
      </c>
      <c r="B976" s="3" t="s">
        <v>1370</v>
      </c>
      <c r="C976" s="3" t="s">
        <v>1373</v>
      </c>
      <c r="D976" s="3">
        <v>1000</v>
      </c>
      <c r="E976" s="4" t="s">
        <v>178</v>
      </c>
      <c r="F976" s="5">
        <v>112</v>
      </c>
      <c r="G976" s="3">
        <v>1000</v>
      </c>
      <c r="I976" s="7"/>
      <c r="J976" s="8"/>
      <c r="K976" s="9"/>
    </row>
    <row r="977" spans="1:11" x14ac:dyDescent="0.25">
      <c r="A977" t="str">
        <f>"00378181310"</f>
        <v>00378181310</v>
      </c>
      <c r="B977" t="s">
        <v>1370</v>
      </c>
      <c r="C977" t="s">
        <v>1374</v>
      </c>
      <c r="D977">
        <v>1000</v>
      </c>
      <c r="E977" s="10" t="s">
        <v>178</v>
      </c>
      <c r="F977" s="11">
        <v>125</v>
      </c>
      <c r="G977">
        <v>1000</v>
      </c>
      <c r="I977" s="12"/>
      <c r="J977" s="8"/>
      <c r="K977" s="13"/>
    </row>
    <row r="978" spans="1:11" x14ac:dyDescent="0.25">
      <c r="A978" s="3" t="str">
        <f>"00378182310"</f>
        <v>00378182310</v>
      </c>
      <c r="B978" s="3" t="s">
        <v>1370</v>
      </c>
      <c r="C978" s="3" t="s">
        <v>1375</v>
      </c>
      <c r="D978" s="3">
        <v>1000</v>
      </c>
      <c r="E978" s="4" t="s">
        <v>178</v>
      </c>
      <c r="F978" s="5">
        <v>137</v>
      </c>
      <c r="G978" s="3">
        <v>1000</v>
      </c>
      <c r="I978" s="7"/>
      <c r="J978" s="8"/>
      <c r="K978" s="9"/>
    </row>
    <row r="979" spans="1:11" x14ac:dyDescent="0.25">
      <c r="A979" t="str">
        <f>"00378181510"</f>
        <v>00378181510</v>
      </c>
      <c r="B979" t="s">
        <v>1370</v>
      </c>
      <c r="C979" t="s">
        <v>1376</v>
      </c>
      <c r="D979">
        <v>1000</v>
      </c>
      <c r="E979" s="10" t="s">
        <v>178</v>
      </c>
      <c r="F979" s="11">
        <v>150</v>
      </c>
      <c r="G979">
        <v>1000</v>
      </c>
      <c r="I979" s="12"/>
      <c r="J979" s="8"/>
      <c r="K979" s="13"/>
    </row>
    <row r="980" spans="1:11" x14ac:dyDescent="0.25">
      <c r="A980" s="3" t="str">
        <f>"00378181710"</f>
        <v>00378181710</v>
      </c>
      <c r="B980" s="3" t="s">
        <v>1370</v>
      </c>
      <c r="C980" s="3" t="s">
        <v>1377</v>
      </c>
      <c r="D980" s="3">
        <v>1000</v>
      </c>
      <c r="E980" s="4" t="s">
        <v>178</v>
      </c>
      <c r="F980" s="5">
        <v>175</v>
      </c>
      <c r="G980" s="3">
        <v>1000</v>
      </c>
      <c r="I980" s="7"/>
      <c r="J980" s="8"/>
      <c r="K980" s="9"/>
    </row>
    <row r="981" spans="1:11" x14ac:dyDescent="0.25">
      <c r="A981" t="str">
        <f>"00378181910"</f>
        <v>00378181910</v>
      </c>
      <c r="B981" t="s">
        <v>1370</v>
      </c>
      <c r="C981" t="s">
        <v>1378</v>
      </c>
      <c r="D981">
        <v>1000</v>
      </c>
      <c r="E981" s="10" t="s">
        <v>178</v>
      </c>
      <c r="F981" s="11">
        <v>200</v>
      </c>
      <c r="G981">
        <v>1000</v>
      </c>
      <c r="I981" s="12"/>
      <c r="J981" s="8"/>
      <c r="K981" s="13"/>
    </row>
    <row r="982" spans="1:11" x14ac:dyDescent="0.25">
      <c r="A982" s="3" t="str">
        <f>"00378180010"</f>
        <v>00378180010</v>
      </c>
      <c r="B982" s="3" t="s">
        <v>1370</v>
      </c>
      <c r="C982" s="3" t="s">
        <v>1379</v>
      </c>
      <c r="D982" s="3">
        <v>1000</v>
      </c>
      <c r="E982" s="4" t="s">
        <v>178</v>
      </c>
      <c r="F982" s="5">
        <v>25</v>
      </c>
      <c r="G982" s="3">
        <v>1000</v>
      </c>
      <c r="I982" s="7"/>
      <c r="J982" s="8"/>
      <c r="K982" s="9"/>
    </row>
    <row r="983" spans="1:11" x14ac:dyDescent="0.25">
      <c r="A983" t="str">
        <f>"00378182101"</f>
        <v>00378182101</v>
      </c>
      <c r="B983" t="s">
        <v>1370</v>
      </c>
      <c r="C983" t="s">
        <v>1380</v>
      </c>
      <c r="D983">
        <v>100</v>
      </c>
      <c r="E983" s="10" t="s">
        <v>178</v>
      </c>
      <c r="F983" s="11">
        <v>300</v>
      </c>
      <c r="G983">
        <v>100</v>
      </c>
      <c r="I983" s="12"/>
      <c r="J983" s="8"/>
      <c r="K983" s="13"/>
    </row>
    <row r="984" spans="1:11" x14ac:dyDescent="0.25">
      <c r="A984" s="3" t="str">
        <f>"00781519092"</f>
        <v>00781519092</v>
      </c>
      <c r="B984" s="3" t="s">
        <v>1370</v>
      </c>
      <c r="C984" s="3" t="s">
        <v>1382</v>
      </c>
      <c r="D984" s="3">
        <v>90</v>
      </c>
      <c r="E984" s="4" t="s">
        <v>178</v>
      </c>
      <c r="F984" s="5">
        <v>300</v>
      </c>
      <c r="G984" s="3">
        <v>90</v>
      </c>
      <c r="I984" s="7"/>
      <c r="J984" s="8"/>
      <c r="K984" s="9"/>
    </row>
    <row r="985" spans="1:11" x14ac:dyDescent="0.25">
      <c r="A985" t="str">
        <f>"00378180310"</f>
        <v>00378180310</v>
      </c>
      <c r="B985" t="s">
        <v>1370</v>
      </c>
      <c r="C985" t="s">
        <v>1381</v>
      </c>
      <c r="D985">
        <v>1000</v>
      </c>
      <c r="E985" s="10" t="s">
        <v>178</v>
      </c>
      <c r="F985" s="11">
        <v>50</v>
      </c>
      <c r="G985">
        <v>1000</v>
      </c>
      <c r="I985" s="12"/>
      <c r="J985" s="8"/>
      <c r="K985" s="13"/>
    </row>
    <row r="986" spans="1:11" x14ac:dyDescent="0.25">
      <c r="A986" s="3" t="str">
        <f>"00378180510"</f>
        <v>00378180510</v>
      </c>
      <c r="B986" s="3" t="s">
        <v>1370</v>
      </c>
      <c r="C986" s="3" t="s">
        <v>1383</v>
      </c>
      <c r="D986" s="3">
        <v>1000</v>
      </c>
      <c r="E986" s="4" t="s">
        <v>178</v>
      </c>
      <c r="F986" s="5">
        <v>75</v>
      </c>
      <c r="G986" s="3">
        <v>1000</v>
      </c>
      <c r="I986" s="7"/>
      <c r="J986" s="8"/>
      <c r="K986" s="9"/>
    </row>
    <row r="987" spans="1:11" x14ac:dyDescent="0.25">
      <c r="A987" t="str">
        <f>"00378180710"</f>
        <v>00378180710</v>
      </c>
      <c r="B987" t="s">
        <v>1370</v>
      </c>
      <c r="C987" t="s">
        <v>1384</v>
      </c>
      <c r="D987">
        <v>1000</v>
      </c>
      <c r="E987" s="10" t="s">
        <v>178</v>
      </c>
      <c r="F987" s="11">
        <v>88</v>
      </c>
      <c r="G987">
        <v>1000</v>
      </c>
      <c r="I987" s="12"/>
      <c r="J987" s="8"/>
      <c r="K987" s="13"/>
    </row>
    <row r="988" spans="1:11" x14ac:dyDescent="0.25">
      <c r="A988" s="3" t="str">
        <f>"00378181777"</f>
        <v>00378181777</v>
      </c>
      <c r="B988" s="3" t="s">
        <v>1370</v>
      </c>
      <c r="C988" s="3" t="s">
        <v>1385</v>
      </c>
      <c r="D988" s="3">
        <v>90</v>
      </c>
      <c r="E988" s="4" t="s">
        <v>178</v>
      </c>
      <c r="F988" s="5">
        <v>175</v>
      </c>
      <c r="G988" s="3">
        <v>90</v>
      </c>
      <c r="I988" s="7"/>
      <c r="J988" s="8"/>
      <c r="K988" s="9"/>
    </row>
    <row r="989" spans="1:11" x14ac:dyDescent="0.25">
      <c r="A989" t="str">
        <f>"00378180377"</f>
        <v>00378180377</v>
      </c>
      <c r="B989" t="s">
        <v>1370</v>
      </c>
      <c r="C989" t="s">
        <v>1386</v>
      </c>
      <c r="D989">
        <v>90</v>
      </c>
      <c r="E989" s="10" t="s">
        <v>178</v>
      </c>
      <c r="F989" s="11">
        <v>50</v>
      </c>
      <c r="G989">
        <v>90</v>
      </c>
      <c r="I989" s="12"/>
      <c r="J989" s="8"/>
      <c r="K989" s="13"/>
    </row>
    <row r="990" spans="1:11" x14ac:dyDescent="0.25">
      <c r="A990" s="3" t="str">
        <f>"00378180777"</f>
        <v>00378180777</v>
      </c>
      <c r="B990" s="3" t="s">
        <v>1370</v>
      </c>
      <c r="C990" s="3" t="s">
        <v>1387</v>
      </c>
      <c r="D990" s="3">
        <v>90</v>
      </c>
      <c r="E990" s="4" t="s">
        <v>178</v>
      </c>
      <c r="F990" s="5">
        <v>88</v>
      </c>
      <c r="G990" s="3">
        <v>90</v>
      </c>
      <c r="I990" s="7"/>
      <c r="J990" s="8"/>
      <c r="K990" s="9"/>
    </row>
    <row r="991" spans="1:11" x14ac:dyDescent="0.25">
      <c r="A991" t="str">
        <f>"00378181377"</f>
        <v>00378181377</v>
      </c>
      <c r="B991" t="s">
        <v>1370</v>
      </c>
      <c r="C991" t="s">
        <v>1388</v>
      </c>
      <c r="D991">
        <v>90</v>
      </c>
      <c r="E991" s="10" t="s">
        <v>178</v>
      </c>
      <c r="F991" s="11">
        <v>125</v>
      </c>
      <c r="G991">
        <v>90</v>
      </c>
      <c r="I991" s="12"/>
      <c r="J991" s="8"/>
      <c r="K991" s="13"/>
    </row>
    <row r="992" spans="1:11" x14ac:dyDescent="0.25">
      <c r="A992" s="3" t="str">
        <f>"00378182377"</f>
        <v>00378182377</v>
      </c>
      <c r="B992" s="3" t="s">
        <v>1370</v>
      </c>
      <c r="C992" s="3" t="s">
        <v>1389</v>
      </c>
      <c r="D992" s="3">
        <v>90</v>
      </c>
      <c r="E992" s="4" t="s">
        <v>178</v>
      </c>
      <c r="F992" s="5">
        <v>137</v>
      </c>
      <c r="G992" s="3">
        <v>90</v>
      </c>
      <c r="I992" s="7"/>
      <c r="J992" s="8"/>
      <c r="K992" s="9"/>
    </row>
    <row r="993" spans="1:11" x14ac:dyDescent="0.25">
      <c r="A993" t="str">
        <f>"49702020718"</f>
        <v>49702020718</v>
      </c>
      <c r="B993" t="s">
        <v>1390</v>
      </c>
      <c r="C993" t="s">
        <v>1391</v>
      </c>
      <c r="D993">
        <v>60</v>
      </c>
      <c r="E993" s="10" t="s">
        <v>11</v>
      </c>
      <c r="F993" s="11">
        <v>700</v>
      </c>
      <c r="G993">
        <v>60</v>
      </c>
      <c r="I993" s="12"/>
      <c r="J993" s="8"/>
      <c r="K993" s="13"/>
    </row>
    <row r="994" spans="1:11" x14ac:dyDescent="0.25">
      <c r="A994" s="3" t="str">
        <f>"43199004030"</f>
        <v>43199004030</v>
      </c>
      <c r="B994" s="3" t="s">
        <v>156</v>
      </c>
      <c r="C994" s="3" t="s">
        <v>1392</v>
      </c>
      <c r="D994" s="3">
        <v>30</v>
      </c>
      <c r="E994" s="4" t="s">
        <v>43</v>
      </c>
      <c r="F994" s="14">
        <v>0.04</v>
      </c>
      <c r="G994" s="3">
        <v>30</v>
      </c>
      <c r="I994" s="7"/>
      <c r="J994" s="8"/>
      <c r="K994" s="9"/>
    </row>
    <row r="995" spans="1:11" x14ac:dyDescent="0.25">
      <c r="A995" t="str">
        <f>"00591352530"</f>
        <v>00591352530</v>
      </c>
      <c r="B995" t="s">
        <v>156</v>
      </c>
      <c r="C995" t="s">
        <v>1393</v>
      </c>
      <c r="D995">
        <v>30</v>
      </c>
      <c r="E995" s="10" t="s">
        <v>43</v>
      </c>
      <c r="F995" s="15">
        <v>0.05</v>
      </c>
      <c r="G995">
        <v>30</v>
      </c>
      <c r="I995" s="12"/>
      <c r="J995" s="8"/>
      <c r="K995" s="13"/>
    </row>
    <row r="996" spans="1:11" x14ac:dyDescent="0.25">
      <c r="A996" s="3" t="str">
        <f>"63323020110"</f>
        <v>63323020110</v>
      </c>
      <c r="B996" s="3" t="s">
        <v>1394</v>
      </c>
      <c r="C996" s="3" t="s">
        <v>1395</v>
      </c>
      <c r="D996" s="3">
        <v>250</v>
      </c>
      <c r="E996" s="4" t="s">
        <v>43</v>
      </c>
      <c r="F996" s="14">
        <v>0.01</v>
      </c>
      <c r="G996" s="3">
        <v>10</v>
      </c>
      <c r="I996" s="7"/>
      <c r="J996" s="8"/>
      <c r="K996" s="9"/>
    </row>
    <row r="997" spans="1:11" x14ac:dyDescent="0.25">
      <c r="A997" t="str">
        <f>"00409427601"</f>
        <v>00409427601</v>
      </c>
      <c r="B997" t="s">
        <v>1394</v>
      </c>
      <c r="C997" t="s">
        <v>1396</v>
      </c>
      <c r="D997">
        <v>500</v>
      </c>
      <c r="E997" s="10" t="s">
        <v>43</v>
      </c>
      <c r="F997" s="15">
        <v>0.01</v>
      </c>
      <c r="G997">
        <v>20</v>
      </c>
      <c r="I997" s="12"/>
      <c r="J997" s="8"/>
      <c r="K997" s="13"/>
    </row>
    <row r="998" spans="1:11" x14ac:dyDescent="0.25">
      <c r="A998" s="3" t="str">
        <f>"00409427602"</f>
        <v>00409427602</v>
      </c>
      <c r="B998" s="3" t="s">
        <v>1394</v>
      </c>
      <c r="C998" s="3" t="s">
        <v>1397</v>
      </c>
      <c r="D998" s="3">
        <v>1250</v>
      </c>
      <c r="E998" s="4" t="s">
        <v>43</v>
      </c>
      <c r="F998" s="14">
        <v>0.01</v>
      </c>
      <c r="G998" s="3">
        <v>50</v>
      </c>
      <c r="I998" s="7"/>
      <c r="J998" s="8"/>
      <c r="K998" s="9"/>
    </row>
    <row r="999" spans="1:11" x14ac:dyDescent="0.25">
      <c r="A999" t="str">
        <f>"17478071110"</f>
        <v>17478071110</v>
      </c>
      <c r="B999" t="s">
        <v>1394</v>
      </c>
      <c r="C999" t="s">
        <v>1398</v>
      </c>
      <c r="D999">
        <v>50</v>
      </c>
      <c r="E999" s="10" t="s">
        <v>43</v>
      </c>
      <c r="F999" s="15">
        <v>0.02</v>
      </c>
      <c r="G999">
        <v>5</v>
      </c>
      <c r="I999" s="12"/>
      <c r="J999" s="8"/>
      <c r="K999" s="13"/>
    </row>
    <row r="1000" spans="1:11" x14ac:dyDescent="0.25">
      <c r="A1000" s="3" t="str">
        <f>"17478071130"</f>
        <v>17478071130</v>
      </c>
      <c r="B1000" s="3" t="s">
        <v>1394</v>
      </c>
      <c r="C1000" s="3" t="s">
        <v>1399</v>
      </c>
      <c r="D1000" s="3">
        <v>30</v>
      </c>
      <c r="E1000" s="4" t="s">
        <v>43</v>
      </c>
      <c r="F1000" s="14">
        <v>0.02</v>
      </c>
      <c r="G1000" s="3">
        <v>30</v>
      </c>
      <c r="I1000" s="7"/>
      <c r="J1000" s="8"/>
      <c r="K1000" s="9"/>
    </row>
    <row r="1001" spans="1:11" x14ac:dyDescent="0.25">
      <c r="A1001" t="str">
        <f>"00409427701"</f>
        <v>00409427701</v>
      </c>
      <c r="B1001" t="s">
        <v>1394</v>
      </c>
      <c r="C1001" t="s">
        <v>1400</v>
      </c>
      <c r="D1001">
        <v>500</v>
      </c>
      <c r="E1001" s="10" t="s">
        <v>43</v>
      </c>
      <c r="F1001" s="15">
        <v>0.02</v>
      </c>
      <c r="G1001">
        <v>20</v>
      </c>
      <c r="I1001" s="12"/>
      <c r="J1001" s="8"/>
      <c r="K1001" s="13"/>
    </row>
    <row r="1002" spans="1:11" x14ac:dyDescent="0.25">
      <c r="A1002" s="3" t="str">
        <f>"50383077504"</f>
        <v>50383077504</v>
      </c>
      <c r="B1002" s="3" t="s">
        <v>1394</v>
      </c>
      <c r="C1002" s="3" t="s">
        <v>1401</v>
      </c>
      <c r="D1002" s="3">
        <v>100</v>
      </c>
      <c r="E1002" s="4" t="s">
        <v>43</v>
      </c>
      <c r="F1002" s="14">
        <v>0.02</v>
      </c>
      <c r="G1002" s="3">
        <v>100</v>
      </c>
      <c r="I1002" s="7"/>
      <c r="J1002" s="8"/>
      <c r="K1002" s="9"/>
    </row>
    <row r="1003" spans="1:11" x14ac:dyDescent="0.25">
      <c r="A1003" t="str">
        <f>"00409317801"</f>
        <v>00409317801</v>
      </c>
      <c r="B1003" t="s">
        <v>1402</v>
      </c>
      <c r="C1003" t="s">
        <v>1403</v>
      </c>
      <c r="D1003">
        <v>500</v>
      </c>
      <c r="E1003" s="10">
        <v>0.11111111111111112</v>
      </c>
      <c r="F1003" s="11">
        <v>0.01</v>
      </c>
      <c r="G1003">
        <v>20</v>
      </c>
      <c r="I1003" s="12"/>
      <c r="J1003" s="8"/>
      <c r="K1003" s="13"/>
    </row>
    <row r="1004" spans="1:11" x14ac:dyDescent="0.25">
      <c r="A1004" s="3" t="str">
        <f>"00409317802"</f>
        <v>00409317802</v>
      </c>
      <c r="B1004" s="3" t="s">
        <v>1402</v>
      </c>
      <c r="C1004" s="3" t="s">
        <v>1404</v>
      </c>
      <c r="D1004" s="3">
        <v>750</v>
      </c>
      <c r="E1004" s="4">
        <v>0.11111111111111112</v>
      </c>
      <c r="F1004" s="5">
        <v>0.01</v>
      </c>
      <c r="G1004" s="3">
        <v>30</v>
      </c>
      <c r="I1004" s="7"/>
      <c r="J1004" s="8"/>
      <c r="K1004" s="9"/>
    </row>
    <row r="1005" spans="1:11" x14ac:dyDescent="0.25">
      <c r="A1005" t="str">
        <f>"00409318201"</f>
        <v>00409318201</v>
      </c>
      <c r="B1005" t="s">
        <v>1402</v>
      </c>
      <c r="C1005" t="s">
        <v>1405</v>
      </c>
      <c r="D1005">
        <v>500</v>
      </c>
      <c r="E1005" s="10">
        <v>0.11111111111111112</v>
      </c>
      <c r="F1005" s="11">
        <v>0.02</v>
      </c>
      <c r="G1005">
        <v>20</v>
      </c>
      <c r="I1005" s="12"/>
      <c r="J1005" s="8"/>
      <c r="K1005" s="13"/>
    </row>
    <row r="1006" spans="1:11" x14ac:dyDescent="0.25">
      <c r="A1006" s="3" t="str">
        <f>"00409318301"</f>
        <v>00409318301</v>
      </c>
      <c r="B1006" s="3" t="s">
        <v>1402</v>
      </c>
      <c r="C1006" s="3" t="s">
        <v>1406</v>
      </c>
      <c r="D1006" s="3">
        <v>100</v>
      </c>
      <c r="E1006" s="4">
        <v>0.18055555555555558</v>
      </c>
      <c r="F1006" s="5">
        <v>0.02</v>
      </c>
      <c r="G1006" s="3">
        <v>20</v>
      </c>
      <c r="I1006" s="7"/>
      <c r="J1006" s="8"/>
      <c r="K1006" s="9"/>
    </row>
    <row r="1007" spans="1:11" x14ac:dyDescent="0.25">
      <c r="A1007" t="str">
        <f>"00456120130"</f>
        <v>00456120130</v>
      </c>
      <c r="B1007" t="s">
        <v>1407</v>
      </c>
      <c r="C1007" t="s">
        <v>1408</v>
      </c>
      <c r="D1007">
        <v>30</v>
      </c>
      <c r="E1007" s="10" t="s">
        <v>178</v>
      </c>
      <c r="F1007" s="11">
        <v>145</v>
      </c>
      <c r="G1007">
        <v>30</v>
      </c>
      <c r="I1007" s="12"/>
      <c r="J1007" s="8"/>
      <c r="K1007" s="13"/>
    </row>
    <row r="1008" spans="1:11" x14ac:dyDescent="0.25">
      <c r="A1008" s="3" t="str">
        <f>"00456120230"</f>
        <v>00456120230</v>
      </c>
      <c r="B1008" s="3" t="s">
        <v>1407</v>
      </c>
      <c r="C1008" s="3" t="s">
        <v>1409</v>
      </c>
      <c r="D1008" s="3">
        <v>30</v>
      </c>
      <c r="E1008" s="4" t="s">
        <v>178</v>
      </c>
      <c r="F1008" s="5">
        <v>290</v>
      </c>
      <c r="G1008" s="3">
        <v>30</v>
      </c>
      <c r="I1008" s="7"/>
      <c r="J1008" s="8"/>
      <c r="K1008" s="9"/>
    </row>
    <row r="1009" spans="1:11" x14ac:dyDescent="0.25">
      <c r="A1009" t="str">
        <f>"42794001802"</f>
        <v>42794001802</v>
      </c>
      <c r="B1009" t="s">
        <v>1410</v>
      </c>
      <c r="C1009" t="s">
        <v>1411</v>
      </c>
      <c r="D1009">
        <v>100</v>
      </c>
      <c r="E1009" s="10" t="s">
        <v>178</v>
      </c>
      <c r="F1009" s="11">
        <v>5</v>
      </c>
      <c r="G1009">
        <v>100</v>
      </c>
      <c r="I1009" s="12"/>
      <c r="J1009" s="8"/>
      <c r="K1009" s="13"/>
    </row>
    <row r="1010" spans="1:11" x14ac:dyDescent="0.25">
      <c r="A1010" s="3" t="str">
        <f>"00904649235"</f>
        <v>00904649235</v>
      </c>
      <c r="B1010" s="3" t="s">
        <v>1412</v>
      </c>
      <c r="C1010" s="3" t="s">
        <v>1413</v>
      </c>
      <c r="D1010" s="3">
        <v>15</v>
      </c>
      <c r="E1010" s="4"/>
      <c r="F1010" s="5"/>
      <c r="G1010" s="3">
        <v>15</v>
      </c>
      <c r="I1010" s="7"/>
      <c r="J1010" s="8"/>
      <c r="K1010" s="9"/>
    </row>
    <row r="1011" spans="1:11" x14ac:dyDescent="0.25">
      <c r="A1011" t="str">
        <f>"00172375960"</f>
        <v>00172375960</v>
      </c>
      <c r="B1011" t="s">
        <v>1414</v>
      </c>
      <c r="C1011" t="s">
        <v>1415</v>
      </c>
      <c r="D1011">
        <v>100</v>
      </c>
      <c r="E1011" s="10" t="s">
        <v>11</v>
      </c>
      <c r="F1011" s="11">
        <v>10</v>
      </c>
      <c r="G1011">
        <v>100</v>
      </c>
      <c r="I1011" s="12"/>
      <c r="J1011" s="8"/>
      <c r="K1011" s="13"/>
    </row>
    <row r="1012" spans="1:11" x14ac:dyDescent="0.25">
      <c r="A1012" s="3" t="str">
        <f>"68084019701"</f>
        <v>68084019701</v>
      </c>
      <c r="B1012" s="3" t="s">
        <v>1414</v>
      </c>
      <c r="C1012" s="3" t="s">
        <v>1416</v>
      </c>
      <c r="D1012" s="3">
        <v>100</v>
      </c>
      <c r="E1012" s="4" t="s">
        <v>11</v>
      </c>
      <c r="F1012" s="5">
        <v>10</v>
      </c>
      <c r="G1012" s="3">
        <v>100</v>
      </c>
      <c r="I1012" s="7"/>
      <c r="J1012" s="8"/>
      <c r="K1012" s="9"/>
    </row>
    <row r="1013" spans="1:11" x14ac:dyDescent="0.25">
      <c r="A1013" t="str">
        <f>"00185061001"</f>
        <v>00185061001</v>
      </c>
      <c r="B1013" t="s">
        <v>1414</v>
      </c>
      <c r="C1013" t="s">
        <v>1417</v>
      </c>
      <c r="D1013">
        <v>100</v>
      </c>
      <c r="E1013" s="10" t="s">
        <v>11</v>
      </c>
      <c r="F1013" s="11">
        <v>10</v>
      </c>
      <c r="G1013">
        <v>100</v>
      </c>
      <c r="I1013" s="12"/>
      <c r="J1013" s="8"/>
      <c r="K1013" s="13"/>
    </row>
    <row r="1014" spans="1:11" x14ac:dyDescent="0.25">
      <c r="A1014" s="3" t="str">
        <f>"00185061010"</f>
        <v>00185061010</v>
      </c>
      <c r="B1014" s="3" t="s">
        <v>1414</v>
      </c>
      <c r="C1014" s="3" t="s">
        <v>1418</v>
      </c>
      <c r="D1014" s="3">
        <v>1000</v>
      </c>
      <c r="E1014" s="4" t="s">
        <v>11</v>
      </c>
      <c r="F1014" s="5">
        <v>10</v>
      </c>
      <c r="G1014" s="3">
        <v>1000</v>
      </c>
      <c r="I1014" s="7"/>
      <c r="J1014" s="8"/>
      <c r="K1014" s="9"/>
    </row>
    <row r="1015" spans="1:11" x14ac:dyDescent="0.25">
      <c r="A1015" t="str">
        <f>"68180051201"</f>
        <v>68180051201</v>
      </c>
      <c r="B1015" t="s">
        <v>1414</v>
      </c>
      <c r="C1015" t="s">
        <v>1419</v>
      </c>
      <c r="D1015">
        <v>100</v>
      </c>
      <c r="E1015" s="10" t="s">
        <v>11</v>
      </c>
      <c r="F1015" s="11">
        <v>2.5</v>
      </c>
      <c r="G1015">
        <v>100</v>
      </c>
      <c r="I1015" s="12"/>
      <c r="J1015" s="8"/>
      <c r="K1015" s="13"/>
    </row>
    <row r="1016" spans="1:11" x14ac:dyDescent="0.25">
      <c r="A1016" s="3" t="str">
        <f>"68180051202"</f>
        <v>68180051202</v>
      </c>
      <c r="B1016" s="3" t="s">
        <v>1414</v>
      </c>
      <c r="C1016" s="3" t="s">
        <v>1420</v>
      </c>
      <c r="D1016" s="3">
        <v>500</v>
      </c>
      <c r="E1016" s="4" t="s">
        <v>11</v>
      </c>
      <c r="F1016" s="5">
        <v>2.5</v>
      </c>
      <c r="G1016" s="3">
        <v>500</v>
      </c>
      <c r="I1016" s="7"/>
      <c r="J1016" s="8"/>
      <c r="K1016" s="9"/>
    </row>
    <row r="1017" spans="1:11" x14ac:dyDescent="0.25">
      <c r="A1017" t="str">
        <f>"68084019801"</f>
        <v>68084019801</v>
      </c>
      <c r="B1017" t="s">
        <v>1414</v>
      </c>
      <c r="C1017" t="s">
        <v>1421</v>
      </c>
      <c r="D1017">
        <v>100</v>
      </c>
      <c r="E1017" s="10" t="s">
        <v>11</v>
      </c>
      <c r="F1017" s="11">
        <v>20</v>
      </c>
      <c r="G1017">
        <v>100</v>
      </c>
      <c r="I1017" s="12"/>
      <c r="J1017" s="8"/>
      <c r="K1017" s="13"/>
    </row>
    <row r="1018" spans="1:11" x14ac:dyDescent="0.25">
      <c r="A1018" s="3" t="str">
        <f>"00185062001"</f>
        <v>00185062001</v>
      </c>
      <c r="B1018" s="3" t="s">
        <v>1414</v>
      </c>
      <c r="C1018" s="3" t="s">
        <v>1422</v>
      </c>
      <c r="D1018" s="3">
        <v>100</v>
      </c>
      <c r="E1018" s="4" t="s">
        <v>11</v>
      </c>
      <c r="F1018" s="5">
        <v>20</v>
      </c>
      <c r="G1018" s="3">
        <v>100</v>
      </c>
      <c r="I1018" s="7"/>
      <c r="J1018" s="8"/>
      <c r="K1018" s="9"/>
    </row>
    <row r="1019" spans="1:11" x14ac:dyDescent="0.25">
      <c r="A1019" t="str">
        <f>"00185062010"</f>
        <v>00185062010</v>
      </c>
      <c r="B1019" t="s">
        <v>1414</v>
      </c>
      <c r="C1019" t="s">
        <v>1423</v>
      </c>
      <c r="D1019">
        <v>1000</v>
      </c>
      <c r="E1019" s="10" t="s">
        <v>11</v>
      </c>
      <c r="F1019" s="11">
        <v>20</v>
      </c>
      <c r="G1019">
        <v>1000</v>
      </c>
      <c r="I1019" s="12"/>
      <c r="J1019" s="8"/>
      <c r="K1019" s="13"/>
    </row>
    <row r="1020" spans="1:11" x14ac:dyDescent="0.25">
      <c r="A1020" s="3" t="str">
        <f>"51079098420"</f>
        <v>51079098420</v>
      </c>
      <c r="B1020" s="3" t="s">
        <v>1414</v>
      </c>
      <c r="C1020" s="3" t="s">
        <v>1424</v>
      </c>
      <c r="D1020" s="3">
        <v>100</v>
      </c>
      <c r="E1020" s="4" t="s">
        <v>11</v>
      </c>
      <c r="F1020" s="5">
        <v>40</v>
      </c>
      <c r="G1020" s="3">
        <v>100</v>
      </c>
      <c r="I1020" s="7"/>
      <c r="J1020" s="8"/>
      <c r="K1020" s="9"/>
    </row>
    <row r="1021" spans="1:11" x14ac:dyDescent="0.25">
      <c r="A1021" t="str">
        <f>"00904648780"</f>
        <v>00904648780</v>
      </c>
      <c r="B1021" t="s">
        <v>1414</v>
      </c>
      <c r="C1021" t="s">
        <v>1425</v>
      </c>
      <c r="D1021">
        <v>1000</v>
      </c>
      <c r="E1021" s="10" t="s">
        <v>11</v>
      </c>
      <c r="F1021" s="11">
        <v>40</v>
      </c>
      <c r="G1021">
        <v>1000</v>
      </c>
      <c r="I1021" s="12"/>
      <c r="J1021" s="8"/>
      <c r="K1021" s="13"/>
    </row>
    <row r="1022" spans="1:11" x14ac:dyDescent="0.25">
      <c r="A1022" s="3" t="str">
        <f>"68180051301"</f>
        <v>68180051301</v>
      </c>
      <c r="B1022" s="3" t="s">
        <v>1414</v>
      </c>
      <c r="C1022" s="3" t="s">
        <v>1426</v>
      </c>
      <c r="D1022" s="3">
        <v>100</v>
      </c>
      <c r="E1022" s="4" t="s">
        <v>11</v>
      </c>
      <c r="F1022" s="5">
        <v>5</v>
      </c>
      <c r="G1022" s="3">
        <v>100</v>
      </c>
      <c r="I1022" s="7"/>
      <c r="J1022" s="8"/>
      <c r="K1022" s="9"/>
    </row>
    <row r="1023" spans="1:11" x14ac:dyDescent="0.25">
      <c r="A1023" t="str">
        <f>"00904581161"</f>
        <v>00904581161</v>
      </c>
      <c r="B1023" t="s">
        <v>1414</v>
      </c>
      <c r="C1023" t="s">
        <v>1427</v>
      </c>
      <c r="D1023">
        <v>100</v>
      </c>
      <c r="E1023" s="10" t="s">
        <v>11</v>
      </c>
      <c r="F1023" s="11">
        <v>5</v>
      </c>
      <c r="G1023">
        <v>100</v>
      </c>
      <c r="I1023" s="12"/>
      <c r="J1023" s="8"/>
      <c r="K1023" s="13"/>
    </row>
    <row r="1024" spans="1:11" x14ac:dyDescent="0.25">
      <c r="A1024" s="3" t="str">
        <f>"68084019601"</f>
        <v>68084019601</v>
      </c>
      <c r="B1024" s="3" t="s">
        <v>1414</v>
      </c>
      <c r="C1024" s="3" t="s">
        <v>1428</v>
      </c>
      <c r="D1024" s="3">
        <v>100</v>
      </c>
      <c r="E1024" s="4" t="s">
        <v>11</v>
      </c>
      <c r="F1024" s="5">
        <v>5</v>
      </c>
      <c r="G1024" s="3">
        <v>100</v>
      </c>
      <c r="I1024" s="7"/>
      <c r="J1024" s="8"/>
      <c r="K1024" s="9"/>
    </row>
    <row r="1025" spans="1:11" x14ac:dyDescent="0.25">
      <c r="A1025" t="str">
        <f>"68180051303"</f>
        <v>68180051303</v>
      </c>
      <c r="B1025" t="s">
        <v>1414</v>
      </c>
      <c r="C1025" t="s">
        <v>1429</v>
      </c>
      <c r="D1025">
        <v>1000</v>
      </c>
      <c r="E1025" s="10" t="s">
        <v>11</v>
      </c>
      <c r="F1025" s="11">
        <v>5</v>
      </c>
      <c r="G1025">
        <v>1000</v>
      </c>
      <c r="I1025" s="12"/>
      <c r="J1025" s="8"/>
      <c r="K1025" s="13"/>
    </row>
    <row r="1026" spans="1:11" x14ac:dyDescent="0.25">
      <c r="A1026" s="3" t="str">
        <f>"00054352763"</f>
        <v>00054352763</v>
      </c>
      <c r="B1026" s="3" t="s">
        <v>1430</v>
      </c>
      <c r="C1026" s="3" t="s">
        <v>1431</v>
      </c>
      <c r="D1026" s="3">
        <v>500</v>
      </c>
      <c r="E1026" s="4" t="s">
        <v>1432</v>
      </c>
      <c r="F1026" s="5" t="s">
        <v>1433</v>
      </c>
      <c r="G1026" s="3">
        <v>500</v>
      </c>
      <c r="I1026" s="7"/>
      <c r="J1026" s="8"/>
      <c r="K1026" s="9"/>
    </row>
    <row r="1027" spans="1:11" x14ac:dyDescent="0.25">
      <c r="A1027" t="str">
        <f>"68084065501"</f>
        <v>68084065501</v>
      </c>
      <c r="B1027" t="s">
        <v>1434</v>
      </c>
      <c r="C1027" t="s">
        <v>1435</v>
      </c>
      <c r="D1027">
        <v>100</v>
      </c>
      <c r="E1027" s="10" t="s">
        <v>33</v>
      </c>
      <c r="F1027" s="11">
        <v>450</v>
      </c>
      <c r="G1027">
        <v>100</v>
      </c>
      <c r="I1027" s="12"/>
      <c r="J1027" s="8"/>
      <c r="K1027" s="13"/>
    </row>
    <row r="1028" spans="1:11" x14ac:dyDescent="0.25">
      <c r="A1028" s="3" t="str">
        <f>"00054252625"</f>
        <v>00054252625</v>
      </c>
      <c r="B1028" s="3" t="s">
        <v>1434</v>
      </c>
      <c r="C1028" s="3" t="s">
        <v>1436</v>
      </c>
      <c r="D1028" s="3">
        <v>100</v>
      </c>
      <c r="E1028" s="4" t="s">
        <v>11</v>
      </c>
      <c r="F1028" s="5">
        <v>150</v>
      </c>
      <c r="G1028" s="3">
        <v>100</v>
      </c>
      <c r="I1028" s="7"/>
      <c r="J1028" s="8"/>
      <c r="K1028" s="9"/>
    </row>
    <row r="1029" spans="1:11" x14ac:dyDescent="0.25">
      <c r="A1029" t="str">
        <f>"31722054501"</f>
        <v>31722054501</v>
      </c>
      <c r="B1029" t="s">
        <v>1434</v>
      </c>
      <c r="C1029" t="s">
        <v>1437</v>
      </c>
      <c r="D1029">
        <v>100</v>
      </c>
      <c r="E1029" s="10" t="s">
        <v>11</v>
      </c>
      <c r="F1029" s="11">
        <v>300</v>
      </c>
      <c r="G1029">
        <v>100</v>
      </c>
      <c r="I1029" s="12"/>
      <c r="J1029" s="8"/>
      <c r="K1029" s="13"/>
    </row>
    <row r="1030" spans="1:11" x14ac:dyDescent="0.25">
      <c r="A1030" s="3" t="str">
        <f>"00054852725"</f>
        <v>00054852725</v>
      </c>
      <c r="B1030" s="3" t="s">
        <v>1434</v>
      </c>
      <c r="C1030" s="3" t="s">
        <v>1438</v>
      </c>
      <c r="D1030" s="3">
        <v>100</v>
      </c>
      <c r="E1030" s="4" t="s">
        <v>11</v>
      </c>
      <c r="F1030" s="5">
        <v>300</v>
      </c>
      <c r="G1030" s="3">
        <v>100</v>
      </c>
      <c r="I1030" s="7"/>
      <c r="J1030" s="8"/>
      <c r="K1030" s="9"/>
    </row>
    <row r="1031" spans="1:11" x14ac:dyDescent="0.25">
      <c r="A1031" t="str">
        <f>"31722054510"</f>
        <v>31722054510</v>
      </c>
      <c r="B1031" t="s">
        <v>1434</v>
      </c>
      <c r="C1031" t="s">
        <v>1439</v>
      </c>
      <c r="D1031">
        <v>1000</v>
      </c>
      <c r="E1031" s="10" t="s">
        <v>11</v>
      </c>
      <c r="F1031" s="11">
        <v>300</v>
      </c>
      <c r="G1031">
        <v>1000</v>
      </c>
      <c r="I1031" s="12"/>
      <c r="J1031" s="8"/>
      <c r="K1031" s="13"/>
    </row>
    <row r="1032" spans="1:11" x14ac:dyDescent="0.25">
      <c r="A1032" s="3" t="str">
        <f>"00054002125"</f>
        <v>00054002125</v>
      </c>
      <c r="B1032" s="3" t="s">
        <v>1434</v>
      </c>
      <c r="C1032" s="3" t="s">
        <v>1440</v>
      </c>
      <c r="D1032" s="3">
        <v>100</v>
      </c>
      <c r="E1032" s="4" t="s">
        <v>1441</v>
      </c>
      <c r="F1032" s="5">
        <v>300</v>
      </c>
      <c r="G1032" s="3">
        <v>100</v>
      </c>
      <c r="I1032" s="7"/>
      <c r="J1032" s="8"/>
      <c r="K1032" s="9"/>
    </row>
    <row r="1033" spans="1:11" x14ac:dyDescent="0.25">
      <c r="A1033" t="str">
        <f>"00054002025"</f>
        <v>00054002025</v>
      </c>
      <c r="B1033" t="s">
        <v>1434</v>
      </c>
      <c r="C1033" t="s">
        <v>1442</v>
      </c>
      <c r="D1033">
        <v>100</v>
      </c>
      <c r="E1033" s="10" t="s">
        <v>33</v>
      </c>
      <c r="F1033" s="11">
        <v>450</v>
      </c>
      <c r="G1033">
        <v>100</v>
      </c>
      <c r="I1033" s="12"/>
      <c r="J1033" s="8"/>
      <c r="K1033" s="13"/>
    </row>
    <row r="1034" spans="1:11" x14ac:dyDescent="0.25">
      <c r="A1034" s="3" t="str">
        <f>"68462022401"</f>
        <v>68462022401</v>
      </c>
      <c r="B1034" s="3" t="s">
        <v>1434</v>
      </c>
      <c r="C1034" s="3" t="s">
        <v>1442</v>
      </c>
      <c r="D1034" s="3">
        <v>100</v>
      </c>
      <c r="E1034" s="4" t="s">
        <v>33</v>
      </c>
      <c r="F1034" s="5">
        <v>450</v>
      </c>
      <c r="G1034" s="3">
        <v>100</v>
      </c>
      <c r="I1034" s="7"/>
      <c r="J1034" s="8"/>
      <c r="K1034" s="9"/>
    </row>
    <row r="1035" spans="1:11" x14ac:dyDescent="0.25">
      <c r="A1035" t="str">
        <f>"51079069020"</f>
        <v>51079069020</v>
      </c>
      <c r="B1035" t="s">
        <v>160</v>
      </c>
      <c r="C1035" t="s">
        <v>1443</v>
      </c>
      <c r="D1035">
        <v>100</v>
      </c>
      <c r="E1035" s="10" t="s">
        <v>11</v>
      </c>
      <c r="F1035" s="11">
        <v>2</v>
      </c>
      <c r="G1035">
        <v>100</v>
      </c>
      <c r="I1035" s="12"/>
      <c r="J1035" s="8"/>
      <c r="K1035" s="13"/>
    </row>
    <row r="1036" spans="1:11" x14ac:dyDescent="0.25">
      <c r="A1036" s="3" t="str">
        <f>"00378210005"</f>
        <v>00378210005</v>
      </c>
      <c r="B1036" s="3" t="s">
        <v>160</v>
      </c>
      <c r="C1036" s="3" t="s">
        <v>1444</v>
      </c>
      <c r="D1036" s="3">
        <v>500</v>
      </c>
      <c r="E1036" s="4" t="s">
        <v>11</v>
      </c>
      <c r="F1036" s="5">
        <v>2</v>
      </c>
      <c r="G1036" s="3">
        <v>500</v>
      </c>
      <c r="I1036" s="7"/>
      <c r="J1036" s="8"/>
      <c r="K1036" s="9"/>
    </row>
    <row r="1037" spans="1:11" x14ac:dyDescent="0.25">
      <c r="A1037" t="str">
        <f>"68084024801"</f>
        <v>68084024801</v>
      </c>
      <c r="B1037" t="s">
        <v>1075</v>
      </c>
      <c r="C1037" t="s">
        <v>1445</v>
      </c>
      <c r="D1037">
        <v>100</v>
      </c>
      <c r="E1037" s="10" t="s">
        <v>11</v>
      </c>
      <c r="F1037" s="11">
        <v>10</v>
      </c>
      <c r="G1037">
        <v>100</v>
      </c>
      <c r="I1037" s="12"/>
      <c r="J1037" s="8"/>
      <c r="K1037" s="13"/>
    </row>
    <row r="1038" spans="1:11" x14ac:dyDescent="0.25">
      <c r="A1038" s="3" t="str">
        <f>"45802065087"</f>
        <v>45802065087</v>
      </c>
      <c r="B1038" s="3" t="s">
        <v>1075</v>
      </c>
      <c r="C1038" s="3" t="s">
        <v>1446</v>
      </c>
      <c r="D1038" s="3">
        <v>300</v>
      </c>
      <c r="E1038" s="4" t="s">
        <v>11</v>
      </c>
      <c r="F1038" s="5">
        <v>10</v>
      </c>
      <c r="G1038" s="3">
        <v>300</v>
      </c>
      <c r="I1038" s="7"/>
      <c r="J1038" s="8"/>
      <c r="K1038" s="9"/>
    </row>
    <row r="1039" spans="1:11" x14ac:dyDescent="0.25">
      <c r="A1039" t="str">
        <f>"63739049910"</f>
        <v>63739049910</v>
      </c>
      <c r="B1039" t="s">
        <v>1447</v>
      </c>
      <c r="C1039" t="s">
        <v>1448</v>
      </c>
      <c r="D1039">
        <v>100</v>
      </c>
      <c r="E1039" s="10" t="s">
        <v>11</v>
      </c>
      <c r="F1039" s="11">
        <v>0.5</v>
      </c>
      <c r="G1039">
        <v>100</v>
      </c>
      <c r="I1039" s="12"/>
      <c r="J1039" s="8"/>
      <c r="K1039" s="13"/>
    </row>
    <row r="1040" spans="1:11" x14ac:dyDescent="0.25">
      <c r="A1040" s="3" t="str">
        <f>"63739050010"</f>
        <v>63739050010</v>
      </c>
      <c r="B1040" s="3" t="s">
        <v>1447</v>
      </c>
      <c r="C1040" s="3" t="s">
        <v>1449</v>
      </c>
      <c r="D1040" s="3">
        <v>100</v>
      </c>
      <c r="E1040" s="4" t="s">
        <v>11</v>
      </c>
      <c r="F1040" s="5">
        <v>1</v>
      </c>
      <c r="G1040" s="3">
        <v>100</v>
      </c>
      <c r="I1040" s="7"/>
      <c r="J1040" s="8"/>
      <c r="K1040" s="9"/>
    </row>
    <row r="1041" spans="1:11" x14ac:dyDescent="0.25">
      <c r="A1041" t="str">
        <f>"68084074201"</f>
        <v>68084074201</v>
      </c>
      <c r="B1041" t="s">
        <v>1447</v>
      </c>
      <c r="C1041" t="s">
        <v>1450</v>
      </c>
      <c r="D1041">
        <v>100</v>
      </c>
      <c r="E1041" s="10" t="s">
        <v>11</v>
      </c>
      <c r="F1041" s="11">
        <v>1</v>
      </c>
      <c r="G1041">
        <v>100</v>
      </c>
      <c r="I1041" s="12"/>
      <c r="J1041" s="8"/>
      <c r="K1041" s="13"/>
    </row>
    <row r="1042" spans="1:11" x14ac:dyDescent="0.25">
      <c r="A1042" s="3" t="str">
        <f>"00409677802"</f>
        <v>00409677802</v>
      </c>
      <c r="B1042" s="3" t="s">
        <v>1447</v>
      </c>
      <c r="C1042" s="3" t="s">
        <v>1451</v>
      </c>
      <c r="D1042" s="3">
        <v>10</v>
      </c>
      <c r="E1042" s="4" t="s">
        <v>20</v>
      </c>
      <c r="F1042" s="5">
        <v>2</v>
      </c>
      <c r="G1042" s="3">
        <v>1</v>
      </c>
      <c r="I1042" s="7"/>
      <c r="J1042" s="8"/>
      <c r="K1042" s="9"/>
    </row>
    <row r="1043" spans="1:11" x14ac:dyDescent="0.25">
      <c r="A1043" t="str">
        <f>"00641604425"</f>
        <v>00641604425</v>
      </c>
      <c r="B1043" t="s">
        <v>1447</v>
      </c>
      <c r="C1043" t="s">
        <v>1452</v>
      </c>
      <c r="D1043">
        <v>25</v>
      </c>
      <c r="E1043" s="10" t="s">
        <v>20</v>
      </c>
      <c r="F1043" s="11">
        <v>2</v>
      </c>
      <c r="G1043">
        <v>1</v>
      </c>
      <c r="I1043" s="12"/>
      <c r="J1043" s="8"/>
      <c r="K1043" s="13"/>
    </row>
    <row r="1044" spans="1:11" x14ac:dyDescent="0.25">
      <c r="A1044" s="3" t="str">
        <f>"68084034601"</f>
        <v>68084034601</v>
      </c>
      <c r="B1044" s="3" t="s">
        <v>1453</v>
      </c>
      <c r="C1044" s="3" t="s">
        <v>1454</v>
      </c>
      <c r="D1044" s="3">
        <v>100</v>
      </c>
      <c r="E1044" s="4" t="s">
        <v>11</v>
      </c>
      <c r="F1044" s="5">
        <v>25</v>
      </c>
      <c r="G1044" s="3">
        <v>100</v>
      </c>
      <c r="I1044" s="7"/>
      <c r="J1044" s="8"/>
      <c r="K1044" s="9"/>
    </row>
    <row r="1045" spans="1:11" x14ac:dyDescent="0.25">
      <c r="A1045" t="str">
        <f>"68382013510"</f>
        <v>68382013510</v>
      </c>
      <c r="B1045" t="s">
        <v>1453</v>
      </c>
      <c r="C1045" t="s">
        <v>1455</v>
      </c>
      <c r="D1045">
        <v>1000</v>
      </c>
      <c r="E1045" s="10" t="s">
        <v>11</v>
      </c>
      <c r="F1045" s="11">
        <v>25</v>
      </c>
      <c r="G1045">
        <v>1000</v>
      </c>
      <c r="I1045" s="12"/>
      <c r="J1045" s="8"/>
      <c r="K1045" s="13"/>
    </row>
    <row r="1046" spans="1:11" x14ac:dyDescent="0.25">
      <c r="A1046" s="3" t="str">
        <f>"68382013516"</f>
        <v>68382013516</v>
      </c>
      <c r="B1046" s="3" t="s">
        <v>1453</v>
      </c>
      <c r="C1046" s="3" t="s">
        <v>1456</v>
      </c>
      <c r="D1046" s="3">
        <v>90</v>
      </c>
      <c r="E1046" s="4" t="s">
        <v>11</v>
      </c>
      <c r="F1046" s="5">
        <v>25</v>
      </c>
      <c r="G1046" s="3">
        <v>90</v>
      </c>
      <c r="I1046" s="7"/>
      <c r="J1046" s="8"/>
      <c r="K1046" s="9"/>
    </row>
    <row r="1047" spans="1:11" x14ac:dyDescent="0.25">
      <c r="A1047" t="str">
        <f>"68180030702"</f>
        <v>68180030702</v>
      </c>
      <c r="B1047" t="s">
        <v>1453</v>
      </c>
      <c r="C1047" t="s">
        <v>1458</v>
      </c>
      <c r="D1047">
        <v>1000</v>
      </c>
      <c r="E1047" s="10" t="s">
        <v>11</v>
      </c>
      <c r="F1047" s="11">
        <v>25</v>
      </c>
      <c r="G1047">
        <v>1000</v>
      </c>
      <c r="I1047" s="12"/>
      <c r="J1047" s="8"/>
      <c r="K1047" s="13"/>
    </row>
    <row r="1048" spans="1:11" x14ac:dyDescent="0.25">
      <c r="A1048" s="3" t="str">
        <f>"68084034701"</f>
        <v>68084034701</v>
      </c>
      <c r="B1048" s="3" t="s">
        <v>1453</v>
      </c>
      <c r="C1048" s="3" t="s">
        <v>1457</v>
      </c>
      <c r="D1048" s="3">
        <v>100</v>
      </c>
      <c r="E1048" s="4" t="s">
        <v>11</v>
      </c>
      <c r="F1048" s="5">
        <v>50</v>
      </c>
      <c r="G1048" s="3">
        <v>100</v>
      </c>
      <c r="I1048" s="7"/>
      <c r="J1048" s="8"/>
      <c r="K1048" s="9"/>
    </row>
    <row r="1049" spans="1:11" x14ac:dyDescent="0.25">
      <c r="A1049" t="str">
        <f>"00093736510"</f>
        <v>00093736510</v>
      </c>
      <c r="B1049" t="s">
        <v>1453</v>
      </c>
      <c r="C1049" t="s">
        <v>1459</v>
      </c>
      <c r="D1049">
        <v>1000</v>
      </c>
      <c r="E1049" s="10" t="s">
        <v>11</v>
      </c>
      <c r="F1049" s="11">
        <v>50</v>
      </c>
      <c r="G1049">
        <v>1000</v>
      </c>
      <c r="I1049" s="12"/>
      <c r="J1049" s="8"/>
      <c r="K1049" s="13"/>
    </row>
    <row r="1050" spans="1:11" x14ac:dyDescent="0.25">
      <c r="A1050" s="3" t="str">
        <f>"00093736598"</f>
        <v>00093736598</v>
      </c>
      <c r="B1050" s="3" t="s">
        <v>1453</v>
      </c>
      <c r="C1050" s="3" t="s">
        <v>1460</v>
      </c>
      <c r="D1050" s="3">
        <v>90</v>
      </c>
      <c r="E1050" s="4" t="s">
        <v>11</v>
      </c>
      <c r="F1050" s="5">
        <v>50</v>
      </c>
      <c r="G1050" s="3">
        <v>90</v>
      </c>
      <c r="I1050" s="7"/>
      <c r="J1050" s="8"/>
      <c r="K1050" s="9"/>
    </row>
    <row r="1051" spans="1:11" x14ac:dyDescent="0.25">
      <c r="A1051" t="str">
        <f>"24208029905"</f>
        <v>24208029905</v>
      </c>
      <c r="B1051" t="s">
        <v>1461</v>
      </c>
      <c r="C1051" t="s">
        <v>1462</v>
      </c>
      <c r="D1051">
        <v>5</v>
      </c>
      <c r="E1051" s="10" t="s">
        <v>43</v>
      </c>
      <c r="F1051" s="11">
        <v>0.5</v>
      </c>
      <c r="G1051">
        <v>5</v>
      </c>
      <c r="I1051" s="12"/>
      <c r="J1051" s="8"/>
      <c r="K1051" s="13"/>
    </row>
    <row r="1052" spans="1:11" x14ac:dyDescent="0.25">
      <c r="A1052" s="3" t="str">
        <f>"11523091901"</f>
        <v>11523091901</v>
      </c>
      <c r="B1052" s="3" t="s">
        <v>1463</v>
      </c>
      <c r="C1052" s="3" t="s">
        <v>1464</v>
      </c>
      <c r="D1052" s="3">
        <v>90</v>
      </c>
      <c r="E1052" s="4"/>
      <c r="F1052" s="5"/>
      <c r="G1052" s="3">
        <v>90</v>
      </c>
      <c r="I1052" s="7"/>
      <c r="J1052" s="8"/>
      <c r="K1052" s="9"/>
    </row>
    <row r="1053" spans="1:11" x14ac:dyDescent="0.25">
      <c r="A1053" t="str">
        <f>"45963063301"</f>
        <v>45963063301</v>
      </c>
      <c r="B1053" t="s">
        <v>1465</v>
      </c>
      <c r="C1053" t="s">
        <v>1466</v>
      </c>
      <c r="D1053">
        <v>60</v>
      </c>
      <c r="E1053" s="10" t="s">
        <v>11</v>
      </c>
      <c r="F1053" s="11">
        <v>10</v>
      </c>
      <c r="G1053">
        <v>60</v>
      </c>
      <c r="I1053" s="12"/>
      <c r="J1053" s="8"/>
      <c r="K1053" s="13"/>
    </row>
    <row r="1054" spans="1:11" x14ac:dyDescent="0.25">
      <c r="A1054" s="3" t="str">
        <f>"00185007201"</f>
        <v>00185007201</v>
      </c>
      <c r="B1054" s="3" t="s">
        <v>1465</v>
      </c>
      <c r="C1054" s="3" t="s">
        <v>1467</v>
      </c>
      <c r="D1054" s="3">
        <v>100</v>
      </c>
      <c r="E1054" s="4" t="s">
        <v>11</v>
      </c>
      <c r="F1054" s="5">
        <v>20</v>
      </c>
      <c r="G1054" s="3">
        <v>100</v>
      </c>
      <c r="I1054" s="7"/>
      <c r="J1054" s="8"/>
      <c r="K1054" s="9"/>
    </row>
    <row r="1055" spans="1:11" x14ac:dyDescent="0.25">
      <c r="A1055" t="str">
        <f>"00185007210"</f>
        <v>00185007210</v>
      </c>
      <c r="B1055" t="s">
        <v>1465</v>
      </c>
      <c r="C1055" t="s">
        <v>1468</v>
      </c>
      <c r="D1055">
        <v>1000</v>
      </c>
      <c r="E1055" s="10" t="s">
        <v>11</v>
      </c>
      <c r="F1055" s="11">
        <v>20</v>
      </c>
      <c r="G1055">
        <v>1000</v>
      </c>
      <c r="I1055" s="12"/>
      <c r="J1055" s="8"/>
      <c r="K1055" s="13"/>
    </row>
    <row r="1056" spans="1:11" x14ac:dyDescent="0.25">
      <c r="A1056" s="3" t="str">
        <f>"00185007401"</f>
        <v>00185007401</v>
      </c>
      <c r="B1056" s="3" t="s">
        <v>1465</v>
      </c>
      <c r="C1056" s="3" t="s">
        <v>1469</v>
      </c>
      <c r="D1056" s="3">
        <v>100</v>
      </c>
      <c r="E1056" s="4" t="s">
        <v>11</v>
      </c>
      <c r="F1056" s="5">
        <v>40</v>
      </c>
      <c r="G1056" s="3">
        <v>100</v>
      </c>
      <c r="I1056" s="7"/>
      <c r="J1056" s="8"/>
      <c r="K1056" s="9"/>
    </row>
    <row r="1057" spans="1:11" x14ac:dyDescent="0.25">
      <c r="A1057" t="str">
        <f>"00173088408"</f>
        <v>00173088408</v>
      </c>
      <c r="B1057" t="s">
        <v>1470</v>
      </c>
      <c r="C1057" t="s">
        <v>1471</v>
      </c>
      <c r="D1057">
        <v>120</v>
      </c>
      <c r="G1057">
        <v>120</v>
      </c>
      <c r="I1057" s="12"/>
      <c r="J1057" s="8"/>
      <c r="K1057" s="13"/>
    </row>
    <row r="1058" spans="1:11" x14ac:dyDescent="0.25">
      <c r="A1058" s="3" t="str">
        <f>"52544084728"</f>
        <v>52544084728</v>
      </c>
      <c r="B1058" s="3" t="s">
        <v>1472</v>
      </c>
      <c r="C1058" s="3" t="s">
        <v>1473</v>
      </c>
      <c r="D1058" s="3">
        <v>168</v>
      </c>
      <c r="E1058" s="4" t="s">
        <v>11</v>
      </c>
      <c r="F1058" s="5">
        <v>0.03</v>
      </c>
      <c r="G1058" s="3">
        <v>28</v>
      </c>
      <c r="I1058" s="7"/>
      <c r="J1058" s="8"/>
      <c r="K1058" s="9"/>
    </row>
    <row r="1059" spans="1:11" x14ac:dyDescent="0.25">
      <c r="A1059" t="str">
        <f>"51862056406"</f>
        <v>51862056406</v>
      </c>
      <c r="B1059" t="s">
        <v>1472</v>
      </c>
      <c r="C1059" t="s">
        <v>1474</v>
      </c>
      <c r="D1059">
        <v>168</v>
      </c>
      <c r="E1059" s="10" t="s">
        <v>1475</v>
      </c>
      <c r="F1059" s="11" t="s">
        <v>1476</v>
      </c>
      <c r="G1059">
        <v>28</v>
      </c>
      <c r="I1059" s="12"/>
      <c r="J1059" s="8"/>
      <c r="K1059" s="13"/>
    </row>
    <row r="1060" spans="1:11" x14ac:dyDescent="0.25">
      <c r="A1060" s="3" t="str">
        <f>"00527139501"</f>
        <v>00527139501</v>
      </c>
      <c r="B1060" s="3" t="s">
        <v>1477</v>
      </c>
      <c r="C1060" s="3" t="s">
        <v>1478</v>
      </c>
      <c r="D1060" s="3">
        <v>100</v>
      </c>
      <c r="E1060" s="4" t="s">
        <v>11</v>
      </c>
      <c r="F1060" s="5">
        <v>10</v>
      </c>
      <c r="G1060" s="3">
        <v>100</v>
      </c>
      <c r="I1060" s="7"/>
      <c r="J1060" s="8"/>
      <c r="K1060" s="9"/>
    </row>
    <row r="1061" spans="1:11" x14ac:dyDescent="0.25">
      <c r="A1061" t="str">
        <f>"51079090120"</f>
        <v>51079090120</v>
      </c>
      <c r="B1061" t="s">
        <v>1477</v>
      </c>
      <c r="C1061" t="s">
        <v>1479</v>
      </c>
      <c r="D1061">
        <v>100</v>
      </c>
      <c r="E1061" s="10" t="s">
        <v>11</v>
      </c>
      <c r="F1061" s="11">
        <v>10</v>
      </c>
      <c r="G1061">
        <v>100</v>
      </c>
      <c r="I1061" s="12"/>
      <c r="J1061" s="8"/>
      <c r="K1061" s="13"/>
    </row>
    <row r="1062" spans="1:11" x14ac:dyDescent="0.25">
      <c r="A1062" s="3" t="str">
        <f>"00527139601"</f>
        <v>00527139601</v>
      </c>
      <c r="B1062" s="3" t="s">
        <v>1477</v>
      </c>
      <c r="C1062" s="3" t="s">
        <v>1480</v>
      </c>
      <c r="D1062" s="3">
        <v>100</v>
      </c>
      <c r="E1062" s="4" t="s">
        <v>11</v>
      </c>
      <c r="F1062" s="5">
        <v>25</v>
      </c>
      <c r="G1062" s="3">
        <v>100</v>
      </c>
      <c r="I1062" s="7"/>
      <c r="J1062" s="8"/>
      <c r="K1062" s="9"/>
    </row>
    <row r="1063" spans="1:11" x14ac:dyDescent="0.25">
      <c r="A1063" t="str">
        <f>"51079090220"</f>
        <v>51079090220</v>
      </c>
      <c r="B1063" t="s">
        <v>1477</v>
      </c>
      <c r="C1063" t="s">
        <v>1481</v>
      </c>
      <c r="D1063">
        <v>100</v>
      </c>
      <c r="E1063" s="10" t="s">
        <v>11</v>
      </c>
      <c r="F1063" s="11">
        <v>25</v>
      </c>
      <c r="G1063">
        <v>100</v>
      </c>
      <c r="I1063" s="12"/>
      <c r="J1063" s="8"/>
      <c r="K1063" s="13"/>
    </row>
    <row r="1064" spans="1:11" x14ac:dyDescent="0.25">
      <c r="A1064" s="3" t="str">
        <f>"00527139401"</f>
        <v>00527139401</v>
      </c>
      <c r="B1064" s="3" t="s">
        <v>1477</v>
      </c>
      <c r="C1064" s="3" t="s">
        <v>1482</v>
      </c>
      <c r="D1064" s="3">
        <v>100</v>
      </c>
      <c r="E1064" s="4" t="s">
        <v>11</v>
      </c>
      <c r="F1064" s="5">
        <v>5</v>
      </c>
      <c r="G1064" s="3">
        <v>100</v>
      </c>
      <c r="I1064" s="7"/>
      <c r="J1064" s="8"/>
      <c r="K1064" s="9"/>
    </row>
    <row r="1065" spans="1:11" x14ac:dyDescent="0.25">
      <c r="A1065" t="str">
        <f>"00527139701"</f>
        <v>00527139701</v>
      </c>
      <c r="B1065" t="s">
        <v>1477</v>
      </c>
      <c r="C1065" t="s">
        <v>1483</v>
      </c>
      <c r="D1065">
        <v>100</v>
      </c>
      <c r="E1065" s="10" t="s">
        <v>11</v>
      </c>
      <c r="F1065" s="11">
        <v>50</v>
      </c>
      <c r="G1065">
        <v>100</v>
      </c>
      <c r="I1065" s="12"/>
      <c r="J1065" s="8"/>
      <c r="K1065" s="13"/>
    </row>
    <row r="1066" spans="1:11" x14ac:dyDescent="0.25">
      <c r="A1066" s="3" t="str">
        <f>"52800048316"</f>
        <v>52800048316</v>
      </c>
      <c r="B1066" s="3" t="s">
        <v>1484</v>
      </c>
      <c r="C1066" s="3" t="s">
        <v>1485</v>
      </c>
      <c r="D1066" s="3">
        <v>16</v>
      </c>
      <c r="E1066" s="4"/>
      <c r="F1066" s="5"/>
      <c r="G1066" s="3">
        <v>473</v>
      </c>
      <c r="I1066" s="7"/>
      <c r="J1066" s="8"/>
      <c r="K1066" s="9"/>
    </row>
    <row r="1067" spans="1:11" x14ac:dyDescent="0.25">
      <c r="A1067" t="str">
        <f>"52800048856"</f>
        <v>52800048856</v>
      </c>
      <c r="B1067" t="s">
        <v>1486</v>
      </c>
      <c r="C1067" t="s">
        <v>1487</v>
      </c>
      <c r="D1067">
        <v>16</v>
      </c>
      <c r="G1067">
        <v>473</v>
      </c>
      <c r="I1067" s="12"/>
      <c r="J1067" s="8"/>
      <c r="K1067" s="13"/>
    </row>
    <row r="1068" spans="1:11" x14ac:dyDescent="0.25">
      <c r="A1068" s="3" t="str">
        <f>"00074366303"</f>
        <v>00074366303</v>
      </c>
      <c r="B1068" s="3" t="s">
        <v>1488</v>
      </c>
      <c r="C1068" s="3" t="s">
        <v>1489</v>
      </c>
      <c r="D1068" s="3">
        <v>0</v>
      </c>
      <c r="E1068" s="4" t="s">
        <v>1490</v>
      </c>
      <c r="F1068" s="5">
        <v>11.2</v>
      </c>
      <c r="G1068" s="3">
        <v>1</v>
      </c>
      <c r="I1068" s="7"/>
      <c r="J1068" s="8"/>
      <c r="K1068" s="9"/>
    </row>
    <row r="1069" spans="1:11" x14ac:dyDescent="0.25">
      <c r="A1069" t="str">
        <f>"00074368303"</f>
        <v>00074368303</v>
      </c>
      <c r="B1069" t="s">
        <v>1488</v>
      </c>
      <c r="C1069" t="s">
        <v>1491</v>
      </c>
      <c r="D1069">
        <v>1</v>
      </c>
      <c r="E1069" s="10" t="s">
        <v>11</v>
      </c>
      <c r="F1069" s="11">
        <v>30</v>
      </c>
      <c r="G1069">
        <v>1</v>
      </c>
      <c r="I1069" s="12"/>
      <c r="J1069" s="8"/>
      <c r="K1069" s="13"/>
    </row>
    <row r="1070" spans="1:11" x14ac:dyDescent="0.25">
      <c r="A1070" s="3" t="str">
        <f>"00074228203"</f>
        <v>00074228203</v>
      </c>
      <c r="B1070" s="3" t="s">
        <v>1488</v>
      </c>
      <c r="C1070" s="3" t="s">
        <v>1493</v>
      </c>
      <c r="D1070" s="3">
        <v>0</v>
      </c>
      <c r="E1070" s="4" t="s">
        <v>1494</v>
      </c>
      <c r="F1070" s="5">
        <v>11.2</v>
      </c>
      <c r="G1070" s="3">
        <v>1</v>
      </c>
      <c r="I1070" s="7"/>
      <c r="J1070" s="8"/>
      <c r="K1070" s="9"/>
    </row>
    <row r="1071" spans="1:11" x14ac:dyDescent="0.25">
      <c r="A1071" t="str">
        <f>"00074364103"</f>
        <v>00074364103</v>
      </c>
      <c r="B1071" t="s">
        <v>1488</v>
      </c>
      <c r="C1071" t="s">
        <v>1492</v>
      </c>
      <c r="D1071">
        <v>0</v>
      </c>
      <c r="E1071" s="10" t="s">
        <v>11</v>
      </c>
      <c r="F1071" s="11">
        <v>3.75</v>
      </c>
      <c r="G1071">
        <v>1</v>
      </c>
      <c r="I1071" s="12"/>
      <c r="J1071" s="8"/>
      <c r="K1071" s="13"/>
    </row>
    <row r="1072" spans="1:11" x14ac:dyDescent="0.25">
      <c r="A1072" s="3" t="str">
        <f>"00074347303"</f>
        <v>00074347303</v>
      </c>
      <c r="B1072" s="3" t="s">
        <v>1488</v>
      </c>
      <c r="C1072" s="3" t="s">
        <v>1495</v>
      </c>
      <c r="D1072" s="3">
        <v>1</v>
      </c>
      <c r="E1072" s="4" t="s">
        <v>1497</v>
      </c>
      <c r="F1072" s="5">
        <v>45</v>
      </c>
      <c r="G1072" s="3">
        <v>1</v>
      </c>
      <c r="I1072" s="7"/>
      <c r="J1072" s="8"/>
      <c r="K1072" s="9"/>
    </row>
    <row r="1073" spans="1:11" x14ac:dyDescent="0.25">
      <c r="A1073" t="str">
        <f>"00074364203"</f>
        <v>00074364203</v>
      </c>
      <c r="B1073" t="s">
        <v>1488</v>
      </c>
      <c r="C1073" t="s">
        <v>1496</v>
      </c>
      <c r="D1073">
        <v>0</v>
      </c>
      <c r="E1073" s="10" t="s">
        <v>11</v>
      </c>
      <c r="F1073" s="11">
        <v>7.5</v>
      </c>
      <c r="G1073">
        <v>1</v>
      </c>
      <c r="I1073" s="12"/>
      <c r="J1073" s="8"/>
      <c r="K1073" s="13"/>
    </row>
    <row r="1074" spans="1:11" x14ac:dyDescent="0.25">
      <c r="A1074" s="3" t="str">
        <f>"00071101541"</f>
        <v>00071101541</v>
      </c>
      <c r="B1074" s="3" t="s">
        <v>1498</v>
      </c>
      <c r="C1074" s="3" t="s">
        <v>1499</v>
      </c>
      <c r="D1074" s="3">
        <v>100</v>
      </c>
      <c r="E1074" s="4" t="s">
        <v>11</v>
      </c>
      <c r="F1074" s="5">
        <v>100</v>
      </c>
      <c r="G1074" s="3">
        <v>100</v>
      </c>
      <c r="I1074" s="7"/>
      <c r="J1074" s="8"/>
      <c r="K1074" s="9"/>
    </row>
    <row r="1075" spans="1:11" x14ac:dyDescent="0.25">
      <c r="A1075" t="str">
        <f>"00071101641"</f>
        <v>00071101641</v>
      </c>
      <c r="B1075" t="s">
        <v>1498</v>
      </c>
      <c r="C1075" t="s">
        <v>1500</v>
      </c>
      <c r="D1075">
        <v>100</v>
      </c>
      <c r="E1075" s="10" t="s">
        <v>11</v>
      </c>
      <c r="F1075" s="11">
        <v>150</v>
      </c>
      <c r="G1075">
        <v>100</v>
      </c>
      <c r="I1075" s="12"/>
      <c r="J1075" s="8"/>
      <c r="K1075" s="13"/>
    </row>
    <row r="1076" spans="1:11" x14ac:dyDescent="0.25">
      <c r="A1076" s="3" t="str">
        <f>"00071101668"</f>
        <v>00071101668</v>
      </c>
      <c r="B1076" s="3" t="s">
        <v>1498</v>
      </c>
      <c r="C1076" s="3" t="s">
        <v>1501</v>
      </c>
      <c r="D1076" s="3">
        <v>90</v>
      </c>
      <c r="E1076" s="4" t="s">
        <v>11</v>
      </c>
      <c r="F1076" s="5">
        <v>150</v>
      </c>
      <c r="G1076" s="3">
        <v>90</v>
      </c>
      <c r="I1076" s="7"/>
      <c r="J1076" s="8"/>
      <c r="K1076" s="9"/>
    </row>
    <row r="1077" spans="1:11" x14ac:dyDescent="0.25">
      <c r="A1077" t="str">
        <f>"00071101768"</f>
        <v>00071101768</v>
      </c>
      <c r="B1077" t="s">
        <v>1498</v>
      </c>
      <c r="C1077" t="s">
        <v>1502</v>
      </c>
      <c r="D1077">
        <v>90</v>
      </c>
      <c r="E1077" s="10" t="s">
        <v>11</v>
      </c>
      <c r="F1077" s="11">
        <v>200</v>
      </c>
      <c r="G1077">
        <v>90</v>
      </c>
      <c r="I1077" s="12"/>
      <c r="J1077" s="8"/>
      <c r="K1077" s="13"/>
    </row>
    <row r="1078" spans="1:11" x14ac:dyDescent="0.25">
      <c r="A1078" s="3" t="str">
        <f>"00071101268"</f>
        <v>00071101268</v>
      </c>
      <c r="B1078" s="3" t="s">
        <v>1498</v>
      </c>
      <c r="C1078" s="3" t="s">
        <v>1503</v>
      </c>
      <c r="D1078" s="3">
        <v>90</v>
      </c>
      <c r="E1078" s="4" t="s">
        <v>11</v>
      </c>
      <c r="F1078" s="5">
        <v>25</v>
      </c>
      <c r="G1078" s="3">
        <v>90</v>
      </c>
      <c r="I1078" s="7"/>
      <c r="J1078" s="8"/>
      <c r="K1078" s="9"/>
    </row>
    <row r="1079" spans="1:11" x14ac:dyDescent="0.25">
      <c r="A1079" t="str">
        <f>"00071101341"</f>
        <v>00071101341</v>
      </c>
      <c r="B1079" t="s">
        <v>1498</v>
      </c>
      <c r="C1079" t="s">
        <v>1504</v>
      </c>
      <c r="D1079">
        <v>100</v>
      </c>
      <c r="E1079" s="10" t="s">
        <v>11</v>
      </c>
      <c r="F1079" s="11">
        <v>50</v>
      </c>
      <c r="G1079">
        <v>100</v>
      </c>
      <c r="I1079" s="12"/>
      <c r="J1079" s="8"/>
      <c r="K1079" s="13"/>
    </row>
    <row r="1080" spans="1:11" x14ac:dyDescent="0.25">
      <c r="A1080" s="3" t="s">
        <v>2671</v>
      </c>
      <c r="B1080" s="3" t="s">
        <v>2672</v>
      </c>
      <c r="C1080" s="3" t="s">
        <v>2673</v>
      </c>
      <c r="D1080" s="3"/>
      <c r="E1080" s="4" t="s">
        <v>11</v>
      </c>
      <c r="F1080" s="5" t="s">
        <v>2674</v>
      </c>
      <c r="G1080" s="3"/>
      <c r="I1080" s="7"/>
      <c r="J1080" s="8"/>
      <c r="K1080" s="9"/>
    </row>
    <row r="1081" spans="1:11" x14ac:dyDescent="0.25">
      <c r="A1081" t="str">
        <f>"68585000575"</f>
        <v>68585000575</v>
      </c>
      <c r="B1081" t="s">
        <v>1505</v>
      </c>
      <c r="C1081" t="s">
        <v>1506</v>
      </c>
      <c r="D1081">
        <v>60</v>
      </c>
      <c r="G1081">
        <v>60</v>
      </c>
      <c r="I1081" s="12"/>
      <c r="J1081" s="8"/>
      <c r="K1081" s="13"/>
    </row>
    <row r="1082" spans="1:11" x14ac:dyDescent="0.25">
      <c r="A1082" s="3" t="str">
        <f>"60258017101"</f>
        <v>60258017101</v>
      </c>
      <c r="B1082" s="3" t="s">
        <v>1507</v>
      </c>
      <c r="C1082" s="3" t="s">
        <v>1508</v>
      </c>
      <c r="D1082" s="3">
        <v>120</v>
      </c>
      <c r="E1082" s="4"/>
      <c r="F1082" s="5"/>
      <c r="G1082" s="3">
        <v>120</v>
      </c>
      <c r="I1082" s="7"/>
      <c r="J1082" s="8"/>
      <c r="K1082" s="9"/>
    </row>
    <row r="1083" spans="1:11" x14ac:dyDescent="0.25">
      <c r="A1083" t="str">
        <f>"59016042017"</f>
        <v>59016042017</v>
      </c>
      <c r="B1083" t="s">
        <v>1509</v>
      </c>
      <c r="C1083" t="s">
        <v>1510</v>
      </c>
      <c r="D1083">
        <v>100</v>
      </c>
      <c r="G1083">
        <v>100</v>
      </c>
      <c r="I1083" s="12"/>
      <c r="J1083" s="8"/>
      <c r="K1083" s="13"/>
    </row>
    <row r="1084" spans="1:11" x14ac:dyDescent="0.25">
      <c r="A1084" s="3" t="str">
        <f>"00904198280"</f>
        <v>00904198280</v>
      </c>
      <c r="B1084" s="3" t="s">
        <v>18</v>
      </c>
      <c r="C1084" s="3" t="s">
        <v>1511</v>
      </c>
      <c r="D1084" s="3">
        <v>1000</v>
      </c>
      <c r="E1084" s="4" t="s">
        <v>11</v>
      </c>
      <c r="F1084" s="5">
        <v>325</v>
      </c>
      <c r="G1084" s="3">
        <v>1000</v>
      </c>
      <c r="I1084" s="7"/>
      <c r="J1084" s="8"/>
      <c r="K1084" s="9"/>
    </row>
    <row r="1085" spans="1:11" x14ac:dyDescent="0.25">
      <c r="A1085" t="str">
        <f>"00065063136"</f>
        <v>00065063136</v>
      </c>
      <c r="B1085" t="s">
        <v>1512</v>
      </c>
      <c r="C1085" t="s">
        <v>1513</v>
      </c>
      <c r="D1085">
        <v>3.5</v>
      </c>
      <c r="G1085">
        <v>3.5</v>
      </c>
      <c r="I1085" s="12"/>
      <c r="J1085" s="8"/>
      <c r="K1085" s="13"/>
    </row>
    <row r="1086" spans="1:11" x14ac:dyDescent="0.25">
      <c r="A1086" s="3" t="str">
        <f>"65162044110"</f>
        <v>65162044110</v>
      </c>
      <c r="B1086" s="3" t="s">
        <v>1514</v>
      </c>
      <c r="C1086" s="3" t="s">
        <v>1515</v>
      </c>
      <c r="D1086" s="3">
        <v>100</v>
      </c>
      <c r="E1086" s="4" t="s">
        <v>11</v>
      </c>
      <c r="F1086" s="5">
        <v>12.5</v>
      </c>
      <c r="G1086" s="3">
        <v>100</v>
      </c>
      <c r="I1086" s="7"/>
      <c r="J1086" s="8"/>
      <c r="K1086" s="9"/>
    </row>
    <row r="1087" spans="1:11" x14ac:dyDescent="0.25">
      <c r="A1087" t="str">
        <f>"00536101701"</f>
        <v>00536101701</v>
      </c>
      <c r="B1087" t="s">
        <v>1514</v>
      </c>
      <c r="C1087" t="s">
        <v>1516</v>
      </c>
      <c r="D1087">
        <v>100</v>
      </c>
      <c r="E1087" s="10" t="s">
        <v>11</v>
      </c>
      <c r="F1087" s="11">
        <v>12.5</v>
      </c>
      <c r="G1087">
        <v>100</v>
      </c>
      <c r="I1087" s="12"/>
      <c r="J1087" s="8"/>
      <c r="K1087" s="13"/>
    </row>
    <row r="1088" spans="1:11" x14ac:dyDescent="0.25">
      <c r="A1088" s="3" t="str">
        <f>"50268052215"</f>
        <v>50268052215</v>
      </c>
      <c r="B1088" s="3" t="s">
        <v>1514</v>
      </c>
      <c r="C1088" s="3" t="s">
        <v>1517</v>
      </c>
      <c r="D1088" s="3">
        <v>50</v>
      </c>
      <c r="E1088" s="4" t="s">
        <v>11</v>
      </c>
      <c r="F1088" s="5">
        <v>12.5</v>
      </c>
      <c r="G1088" s="3">
        <v>50</v>
      </c>
      <c r="I1088" s="7"/>
      <c r="J1088" s="8"/>
      <c r="K1088" s="9"/>
    </row>
    <row r="1089" spans="1:11" x14ac:dyDescent="0.25">
      <c r="A1089" t="str">
        <f>"00536101810"</f>
        <v>00536101810</v>
      </c>
      <c r="B1089" t="s">
        <v>1514</v>
      </c>
      <c r="C1089" t="s">
        <v>1518</v>
      </c>
      <c r="D1089">
        <v>1000</v>
      </c>
      <c r="E1089" s="10" t="s">
        <v>11</v>
      </c>
      <c r="F1089" s="11">
        <v>25</v>
      </c>
      <c r="G1089">
        <v>1000</v>
      </c>
      <c r="I1089" s="12"/>
      <c r="J1089" s="8"/>
      <c r="K1089" s="13"/>
    </row>
    <row r="1090" spans="1:11" x14ac:dyDescent="0.25">
      <c r="A1090" s="3" t="str">
        <f>"50268052315"</f>
        <v>50268052315</v>
      </c>
      <c r="B1090" s="3" t="s">
        <v>1514</v>
      </c>
      <c r="C1090" s="3" t="s">
        <v>1519</v>
      </c>
      <c r="D1090" s="3">
        <v>50</v>
      </c>
      <c r="E1090" s="4" t="s">
        <v>11</v>
      </c>
      <c r="F1090" s="5">
        <v>25</v>
      </c>
      <c r="G1090" s="3">
        <v>50</v>
      </c>
      <c r="I1090" s="7"/>
      <c r="J1090" s="8"/>
      <c r="K1090" s="9"/>
    </row>
    <row r="1091" spans="1:11" x14ac:dyDescent="0.25">
      <c r="A1091" t="str">
        <f>"10356001496"</f>
        <v>10356001496</v>
      </c>
      <c r="B1091" t="s">
        <v>778</v>
      </c>
      <c r="C1091" t="s">
        <v>1520</v>
      </c>
      <c r="D1091">
        <v>25</v>
      </c>
      <c r="G1091">
        <v>25</v>
      </c>
      <c r="I1091" s="12"/>
      <c r="J1091" s="8"/>
      <c r="K1091" s="13"/>
    </row>
    <row r="1092" spans="1:11" x14ac:dyDescent="0.25">
      <c r="A1092" s="3" t="str">
        <f>"59762453702"</f>
        <v>59762453702</v>
      </c>
      <c r="B1092" s="3" t="s">
        <v>652</v>
      </c>
      <c r="C1092" s="3" t="s">
        <v>1521</v>
      </c>
      <c r="D1092" s="3">
        <v>25</v>
      </c>
      <c r="E1092" s="4" t="s">
        <v>20</v>
      </c>
      <c r="F1092" s="5">
        <v>150</v>
      </c>
      <c r="G1092" s="3">
        <v>1</v>
      </c>
      <c r="I1092" s="7"/>
      <c r="J1092" s="8"/>
      <c r="K1092" s="9"/>
    </row>
    <row r="1093" spans="1:11" x14ac:dyDescent="0.25">
      <c r="A1093" t="str">
        <f>"59762374005"</f>
        <v>59762374005</v>
      </c>
      <c r="B1093" t="s">
        <v>652</v>
      </c>
      <c r="C1093" t="s">
        <v>1522</v>
      </c>
      <c r="D1093">
        <v>1000</v>
      </c>
      <c r="E1093" s="10" t="s">
        <v>11</v>
      </c>
      <c r="F1093" s="11">
        <v>2.5</v>
      </c>
      <c r="G1093">
        <v>1000</v>
      </c>
      <c r="I1093" s="12"/>
      <c r="J1093" s="8"/>
      <c r="K1093" s="13"/>
    </row>
    <row r="1094" spans="1:11" x14ac:dyDescent="0.25">
      <c r="A1094" s="3" t="str">
        <f>"59762374202"</f>
        <v>59762374202</v>
      </c>
      <c r="B1094" s="3" t="s">
        <v>652</v>
      </c>
      <c r="C1094" s="3" t="s">
        <v>1523</v>
      </c>
      <c r="D1094" s="3">
        <v>100</v>
      </c>
      <c r="E1094" s="4" t="s">
        <v>11</v>
      </c>
      <c r="F1094" s="5">
        <v>10</v>
      </c>
      <c r="G1094" s="3">
        <v>100</v>
      </c>
      <c r="I1094" s="7"/>
      <c r="J1094" s="8"/>
      <c r="K1094" s="9"/>
    </row>
    <row r="1095" spans="1:11" x14ac:dyDescent="0.25">
      <c r="A1095" t="str">
        <f>"66993007030"</f>
        <v>66993007030</v>
      </c>
      <c r="B1095" t="s">
        <v>1524</v>
      </c>
      <c r="C1095" t="s">
        <v>1525</v>
      </c>
      <c r="D1095">
        <v>30</v>
      </c>
      <c r="E1095" s="10" t="s">
        <v>11</v>
      </c>
      <c r="F1095" s="11">
        <v>250</v>
      </c>
      <c r="G1095">
        <v>30</v>
      </c>
      <c r="I1095" s="12"/>
      <c r="J1095" s="8"/>
      <c r="K1095" s="13"/>
    </row>
    <row r="1096" spans="1:11" x14ac:dyDescent="0.25">
      <c r="A1096" s="3" t="str">
        <f>"68382005001"</f>
        <v>68382005001</v>
      </c>
      <c r="B1096" s="3" t="s">
        <v>1526</v>
      </c>
      <c r="C1096" s="3" t="s">
        <v>1527</v>
      </c>
      <c r="D1096" s="3">
        <v>100</v>
      </c>
      <c r="E1096" s="4" t="s">
        <v>11</v>
      </c>
      <c r="F1096" s="5">
        <v>7.5</v>
      </c>
      <c r="G1096" s="3">
        <v>100</v>
      </c>
      <c r="I1096" s="7"/>
      <c r="J1096" s="8"/>
      <c r="K1096" s="9"/>
    </row>
    <row r="1097" spans="1:11" x14ac:dyDescent="0.25">
      <c r="A1097" t="str">
        <f>"49281058905"</f>
        <v>49281058905</v>
      </c>
      <c r="B1097" t="s">
        <v>1528</v>
      </c>
      <c r="C1097" t="s">
        <v>1529</v>
      </c>
      <c r="D1097">
        <v>5</v>
      </c>
      <c r="G1097">
        <v>0.5</v>
      </c>
      <c r="I1097" s="12"/>
      <c r="J1097" s="8"/>
      <c r="K1097" s="13"/>
    </row>
    <row r="1098" spans="1:11" x14ac:dyDescent="0.25">
      <c r="A1098" s="3" t="str">
        <f>"00187170405"</f>
        <v>00187170405</v>
      </c>
      <c r="B1098" s="3" t="s">
        <v>1530</v>
      </c>
      <c r="C1098" s="3" t="s">
        <v>1531</v>
      </c>
      <c r="D1098" s="3">
        <v>100</v>
      </c>
      <c r="E1098" s="4" t="s">
        <v>11</v>
      </c>
      <c r="F1098" s="5">
        <v>5</v>
      </c>
      <c r="G1098" s="3">
        <v>100</v>
      </c>
      <c r="I1098" s="7"/>
      <c r="J1098" s="8"/>
      <c r="K1098" s="9"/>
    </row>
    <row r="1099" spans="1:11" x14ac:dyDescent="0.25">
      <c r="A1099" t="str">
        <f>"00173066518"</f>
        <v>00173066518</v>
      </c>
      <c r="B1099" t="s">
        <v>222</v>
      </c>
      <c r="C1099" t="s">
        <v>1532</v>
      </c>
      <c r="D1099">
        <v>210</v>
      </c>
      <c r="E1099" s="10" t="s">
        <v>438</v>
      </c>
      <c r="F1099" s="11">
        <v>750</v>
      </c>
      <c r="G1099">
        <v>210</v>
      </c>
      <c r="I1099" s="12"/>
      <c r="J1099" s="8"/>
      <c r="K1099" s="13"/>
    </row>
    <row r="1100" spans="1:11" x14ac:dyDescent="0.25">
      <c r="A1100" s="3" t="str">
        <f>"00054458111"</f>
        <v>00054458111</v>
      </c>
      <c r="B1100" s="3" t="s">
        <v>1533</v>
      </c>
      <c r="C1100" s="3" t="s">
        <v>1534</v>
      </c>
      <c r="D1100" s="3">
        <v>25</v>
      </c>
      <c r="E1100" s="4" t="s">
        <v>11</v>
      </c>
      <c r="F1100" s="5">
        <v>50</v>
      </c>
      <c r="G1100" s="3">
        <v>25</v>
      </c>
      <c r="I1100" s="7"/>
      <c r="J1100" s="8"/>
      <c r="K1100" s="9"/>
    </row>
    <row r="1101" spans="1:11" x14ac:dyDescent="0.25">
      <c r="A1101" t="str">
        <f>"00378354752"</f>
        <v>00378354752</v>
      </c>
      <c r="B1101" t="s">
        <v>1533</v>
      </c>
      <c r="C1101" t="s">
        <v>1534</v>
      </c>
      <c r="D1101">
        <v>25</v>
      </c>
      <c r="E1101" s="10" t="s">
        <v>11</v>
      </c>
      <c r="F1101" s="11">
        <v>50</v>
      </c>
      <c r="G1101">
        <v>25</v>
      </c>
      <c r="I1101" s="12"/>
      <c r="J1101" s="8"/>
      <c r="K1101" s="13"/>
    </row>
    <row r="1102" spans="1:11" x14ac:dyDescent="0.25">
      <c r="A1102" s="3" t="str">
        <f>"63323050830"</f>
        <v>63323050830</v>
      </c>
      <c r="B1102" s="3" t="s">
        <v>1535</v>
      </c>
      <c r="C1102" s="3" t="s">
        <v>1536</v>
      </c>
      <c r="D1102" s="3">
        <v>300</v>
      </c>
      <c r="E1102" s="4" t="s">
        <v>48</v>
      </c>
      <c r="F1102" s="5">
        <v>1</v>
      </c>
      <c r="G1102" s="3">
        <v>1</v>
      </c>
      <c r="I1102" s="7"/>
      <c r="J1102" s="8"/>
      <c r="K1102" s="9"/>
    </row>
    <row r="1103" spans="1:11" x14ac:dyDescent="0.25">
      <c r="A1103" t="str">
        <f>"45802092341"</f>
        <v>45802092341</v>
      </c>
      <c r="B1103" t="s">
        <v>1537</v>
      </c>
      <c r="C1103" t="s">
        <v>1538</v>
      </c>
      <c r="D1103">
        <v>0</v>
      </c>
      <c r="E1103" s="10" t="s">
        <v>1539</v>
      </c>
      <c r="F1103" s="11" t="s">
        <v>1540</v>
      </c>
      <c r="G1103">
        <v>1</v>
      </c>
      <c r="I1103" s="12"/>
      <c r="J1103" s="8"/>
      <c r="K1103" s="13"/>
    </row>
    <row r="1104" spans="1:11" x14ac:dyDescent="0.25">
      <c r="A1104" s="3" t="str">
        <f>"00904632861"</f>
        <v>00904632861</v>
      </c>
      <c r="B1104" s="3" t="s">
        <v>1541</v>
      </c>
      <c r="C1104" s="3" t="s">
        <v>1542</v>
      </c>
      <c r="D1104" s="3">
        <v>100</v>
      </c>
      <c r="E1104" s="4" t="s">
        <v>11</v>
      </c>
      <c r="F1104" s="5">
        <v>1000</v>
      </c>
      <c r="G1104" s="3">
        <v>100</v>
      </c>
      <c r="I1104" s="7"/>
      <c r="J1104" s="8"/>
      <c r="K1104" s="9"/>
    </row>
    <row r="1105" spans="1:11" x14ac:dyDescent="0.25">
      <c r="A1105" t="str">
        <f>"60687016201"</f>
        <v>60687016201</v>
      </c>
      <c r="B1105" t="s">
        <v>1541</v>
      </c>
      <c r="C1105" t="s">
        <v>1543</v>
      </c>
      <c r="D1105">
        <v>100</v>
      </c>
      <c r="E1105" s="10" t="s">
        <v>11</v>
      </c>
      <c r="F1105" s="11">
        <v>1000</v>
      </c>
      <c r="G1105">
        <v>100</v>
      </c>
      <c r="I1105" s="12"/>
      <c r="J1105" s="8"/>
      <c r="K1105" s="13"/>
    </row>
    <row r="1106" spans="1:11" x14ac:dyDescent="0.25">
      <c r="A1106" s="3" t="str">
        <f>"68382076010"</f>
        <v>68382076010</v>
      </c>
      <c r="B1106" s="3" t="s">
        <v>1541</v>
      </c>
      <c r="C1106" s="3" t="s">
        <v>1544</v>
      </c>
      <c r="D1106" s="3">
        <v>1000</v>
      </c>
      <c r="E1106" s="4" t="s">
        <v>11</v>
      </c>
      <c r="F1106" s="5">
        <v>1000</v>
      </c>
      <c r="G1106" s="3">
        <v>1000</v>
      </c>
      <c r="I1106" s="7"/>
      <c r="J1106" s="8"/>
      <c r="K1106" s="9"/>
    </row>
    <row r="1107" spans="1:11" x14ac:dyDescent="0.25">
      <c r="A1107" t="str">
        <f>"68382075801"</f>
        <v>68382075801</v>
      </c>
      <c r="B1107" t="s">
        <v>1541</v>
      </c>
      <c r="C1107" t="s">
        <v>1545</v>
      </c>
      <c r="D1107">
        <v>100</v>
      </c>
      <c r="E1107" s="10" t="s">
        <v>11</v>
      </c>
      <c r="F1107" s="11">
        <v>500</v>
      </c>
      <c r="G1107">
        <v>100</v>
      </c>
      <c r="I1107" s="12"/>
      <c r="J1107" s="8"/>
      <c r="K1107" s="13"/>
    </row>
    <row r="1108" spans="1:11" x14ac:dyDescent="0.25">
      <c r="A1108" s="3" t="str">
        <f>"51079017220"</f>
        <v>51079017220</v>
      </c>
      <c r="B1108" s="3" t="s">
        <v>1541</v>
      </c>
      <c r="C1108" s="3" t="s">
        <v>1546</v>
      </c>
      <c r="D1108" s="3">
        <v>100</v>
      </c>
      <c r="E1108" s="4" t="s">
        <v>11</v>
      </c>
      <c r="F1108" s="5">
        <v>500</v>
      </c>
      <c r="G1108" s="3">
        <v>100</v>
      </c>
      <c r="I1108" s="7"/>
      <c r="J1108" s="8"/>
      <c r="K1108" s="9"/>
    </row>
    <row r="1109" spans="1:11" x14ac:dyDescent="0.25">
      <c r="A1109" t="str">
        <f>"68382075810"</f>
        <v>68382075810</v>
      </c>
      <c r="B1109" t="s">
        <v>1541</v>
      </c>
      <c r="C1109" t="s">
        <v>1547</v>
      </c>
      <c r="D1109">
        <v>1000</v>
      </c>
      <c r="E1109" s="10" t="s">
        <v>11</v>
      </c>
      <c r="F1109" s="11">
        <v>500</v>
      </c>
      <c r="G1109">
        <v>1000</v>
      </c>
      <c r="I1109" s="12"/>
      <c r="J1109" s="8"/>
      <c r="K1109" s="13"/>
    </row>
    <row r="1110" spans="1:11" x14ac:dyDescent="0.25">
      <c r="A1110" s="3" t="str">
        <f>"68382075805"</f>
        <v>68382075805</v>
      </c>
      <c r="B1110" s="3" t="s">
        <v>1541</v>
      </c>
      <c r="C1110" s="3" t="s">
        <v>1548</v>
      </c>
      <c r="D1110" s="3">
        <v>500</v>
      </c>
      <c r="E1110" s="4" t="s">
        <v>11</v>
      </c>
      <c r="F1110" s="5">
        <v>500</v>
      </c>
      <c r="G1110" s="3">
        <v>500</v>
      </c>
      <c r="I1110" s="7"/>
      <c r="J1110" s="8"/>
      <c r="K1110" s="9"/>
    </row>
    <row r="1111" spans="1:11" x14ac:dyDescent="0.25">
      <c r="A1111" t="str">
        <f>"68382075901"</f>
        <v>68382075901</v>
      </c>
      <c r="B1111" t="s">
        <v>1541</v>
      </c>
      <c r="C1111" t="s">
        <v>1549</v>
      </c>
      <c r="D1111">
        <v>100</v>
      </c>
      <c r="E1111" s="10" t="s">
        <v>11</v>
      </c>
      <c r="F1111" s="11">
        <v>850</v>
      </c>
      <c r="G1111">
        <v>100</v>
      </c>
      <c r="I1111" s="12"/>
      <c r="J1111" s="8"/>
      <c r="K1111" s="13"/>
    </row>
    <row r="1112" spans="1:11" x14ac:dyDescent="0.25">
      <c r="A1112" s="3" t="str">
        <f>"00054453825"</f>
        <v>00054453825</v>
      </c>
      <c r="B1112" s="3" t="s">
        <v>1550</v>
      </c>
      <c r="C1112" s="3" t="s">
        <v>1551</v>
      </c>
      <c r="D1112" s="3">
        <v>100</v>
      </c>
      <c r="E1112" s="4" t="s">
        <v>11</v>
      </c>
      <c r="F1112" s="5">
        <v>40</v>
      </c>
      <c r="G1112" s="3">
        <v>100</v>
      </c>
      <c r="I1112" s="7"/>
      <c r="J1112" s="8"/>
      <c r="K1112" s="9"/>
    </row>
    <row r="1113" spans="1:11" x14ac:dyDescent="0.25">
      <c r="A1113" t="str">
        <f>"68084073801"</f>
        <v>68084073801</v>
      </c>
      <c r="B1113" t="s">
        <v>1550</v>
      </c>
      <c r="C1113" t="s">
        <v>1552</v>
      </c>
      <c r="D1113">
        <v>100</v>
      </c>
      <c r="E1113" s="10" t="s">
        <v>11</v>
      </c>
      <c r="F1113" s="11">
        <v>10</v>
      </c>
      <c r="G1113">
        <v>100</v>
      </c>
      <c r="I1113" s="12"/>
      <c r="J1113" s="8"/>
      <c r="K1113" s="13"/>
    </row>
    <row r="1114" spans="1:11" x14ac:dyDescent="0.25">
      <c r="A1114" s="3" t="str">
        <f>"00406577162"</f>
        <v>00406577162</v>
      </c>
      <c r="B1114" s="3" t="s">
        <v>1550</v>
      </c>
      <c r="C1114" s="3" t="s">
        <v>1553</v>
      </c>
      <c r="D1114" s="3">
        <v>100</v>
      </c>
      <c r="E1114" s="4" t="s">
        <v>11</v>
      </c>
      <c r="F1114" s="5">
        <v>10</v>
      </c>
      <c r="G1114" s="3">
        <v>100</v>
      </c>
      <c r="I1114" s="7"/>
      <c r="J1114" s="8"/>
      <c r="K1114" s="9"/>
    </row>
    <row r="1115" spans="1:11" x14ac:dyDescent="0.25">
      <c r="A1115" t="str">
        <f>"00406575562"</f>
        <v>00406575562</v>
      </c>
      <c r="B1115" t="s">
        <v>1550</v>
      </c>
      <c r="C1115" t="s">
        <v>1554</v>
      </c>
      <c r="D1115">
        <v>100</v>
      </c>
      <c r="E1115" s="10" t="s">
        <v>11</v>
      </c>
      <c r="F1115" s="11">
        <v>5</v>
      </c>
      <c r="G1115">
        <v>100</v>
      </c>
      <c r="I1115" s="12"/>
      <c r="J1115" s="8"/>
      <c r="K1115" s="13"/>
    </row>
    <row r="1116" spans="1:11" x14ac:dyDescent="0.25">
      <c r="A1116" s="3" t="str">
        <f>"00054855324"</f>
        <v>00054855324</v>
      </c>
      <c r="B1116" s="3" t="s">
        <v>1550</v>
      </c>
      <c r="C1116" s="3" t="s">
        <v>1555</v>
      </c>
      <c r="D1116" s="3">
        <v>100</v>
      </c>
      <c r="E1116" s="4" t="s">
        <v>11</v>
      </c>
      <c r="F1116" s="5">
        <v>5</v>
      </c>
      <c r="G1116" s="3">
        <v>100</v>
      </c>
      <c r="I1116" s="7"/>
      <c r="J1116" s="8"/>
      <c r="K1116" s="9"/>
    </row>
    <row r="1117" spans="1:11" x14ac:dyDescent="0.25">
      <c r="A1117" t="str">
        <f>"00406054034"</f>
        <v>00406054034</v>
      </c>
      <c r="B1117" t="s">
        <v>1550</v>
      </c>
      <c r="C1117" t="s">
        <v>1556</v>
      </c>
      <c r="D1117">
        <v>100</v>
      </c>
      <c r="E1117" s="10" t="s">
        <v>1557</v>
      </c>
      <c r="F1117" s="11">
        <v>40</v>
      </c>
      <c r="G1117">
        <v>100</v>
      </c>
      <c r="I1117" s="12"/>
      <c r="J1117" s="8"/>
      <c r="K1117" s="13"/>
    </row>
    <row r="1118" spans="1:11" x14ac:dyDescent="0.25">
      <c r="A1118" s="3" t="str">
        <f>"43199002001"</f>
        <v>43199002001</v>
      </c>
      <c r="B1118" s="3" t="s">
        <v>1558</v>
      </c>
      <c r="C1118" s="3" t="s">
        <v>1559</v>
      </c>
      <c r="D1118" s="3">
        <v>100</v>
      </c>
      <c r="E1118" s="4" t="s">
        <v>48</v>
      </c>
      <c r="F1118" s="5">
        <v>1</v>
      </c>
      <c r="G1118" s="3">
        <v>100</v>
      </c>
      <c r="I1118" s="7"/>
      <c r="J1118" s="8"/>
      <c r="K1118" s="9"/>
    </row>
    <row r="1119" spans="1:11" x14ac:dyDescent="0.25">
      <c r="A1119" t="str">
        <f>"27437005057"</f>
        <v>27437005057</v>
      </c>
      <c r="B1119" t="s">
        <v>1560</v>
      </c>
      <c r="C1119" t="s">
        <v>1561</v>
      </c>
      <c r="D1119">
        <v>12</v>
      </c>
      <c r="E1119" s="10" t="s">
        <v>11</v>
      </c>
      <c r="F1119" s="11">
        <v>0.2</v>
      </c>
      <c r="G1119">
        <v>12</v>
      </c>
      <c r="I1119" s="12"/>
      <c r="J1119" s="8"/>
      <c r="K1119" s="13"/>
    </row>
    <row r="1120" spans="1:11" x14ac:dyDescent="0.25">
      <c r="A1120" s="3" t="str">
        <f>"49884064101"</f>
        <v>49884064101</v>
      </c>
      <c r="B1120" s="3" t="s">
        <v>1562</v>
      </c>
      <c r="C1120" s="3" t="s">
        <v>1563</v>
      </c>
      <c r="D1120" s="3">
        <v>100</v>
      </c>
      <c r="E1120" s="4" t="s">
        <v>11</v>
      </c>
      <c r="F1120" s="5">
        <v>10</v>
      </c>
      <c r="G1120" s="3">
        <v>100</v>
      </c>
      <c r="I1120" s="7"/>
      <c r="J1120" s="8"/>
      <c r="K1120" s="9"/>
    </row>
    <row r="1121" spans="1:11" x14ac:dyDescent="0.25">
      <c r="A1121" t="str">
        <f>"49884064001"</f>
        <v>49884064001</v>
      </c>
      <c r="B1121" t="s">
        <v>1562</v>
      </c>
      <c r="C1121" t="s">
        <v>1564</v>
      </c>
      <c r="D1121">
        <v>100</v>
      </c>
      <c r="E1121" s="10" t="s">
        <v>11</v>
      </c>
      <c r="F1121" s="11">
        <v>5</v>
      </c>
      <c r="G1121">
        <v>100</v>
      </c>
      <c r="I1121" s="12"/>
      <c r="J1121" s="8"/>
      <c r="K1121" s="13"/>
    </row>
    <row r="1122" spans="1:11" x14ac:dyDescent="0.25">
      <c r="A1122" s="3" t="str">
        <f>"00143129001"</f>
        <v>00143129001</v>
      </c>
      <c r="B1122" s="3" t="s">
        <v>1565</v>
      </c>
      <c r="C1122" s="3" t="s">
        <v>1566</v>
      </c>
      <c r="D1122" s="3">
        <v>100</v>
      </c>
      <c r="E1122" s="4" t="s">
        <v>11</v>
      </c>
      <c r="F1122" s="5">
        <v>500</v>
      </c>
      <c r="G1122" s="3">
        <v>100</v>
      </c>
      <c r="I1122" s="7"/>
      <c r="J1122" s="8"/>
      <c r="K1122" s="9"/>
    </row>
    <row r="1123" spans="1:11" x14ac:dyDescent="0.25">
      <c r="A1123" t="str">
        <f>"00143129201"</f>
        <v>00143129201</v>
      </c>
      <c r="B1123" t="s">
        <v>1565</v>
      </c>
      <c r="C1123" t="s">
        <v>1567</v>
      </c>
      <c r="D1123">
        <v>100</v>
      </c>
      <c r="E1123" s="10" t="s">
        <v>11</v>
      </c>
      <c r="F1123" s="11">
        <v>750</v>
      </c>
      <c r="G1123">
        <v>100</v>
      </c>
      <c r="I1123" s="12"/>
      <c r="J1123" s="8"/>
      <c r="K1123" s="13"/>
    </row>
    <row r="1124" spans="1:11" x14ac:dyDescent="0.25">
      <c r="A1124" s="3" t="str">
        <f>"00054855025"</f>
        <v>00054855025</v>
      </c>
      <c r="B1124" s="3" t="s">
        <v>1568</v>
      </c>
      <c r="C1124" s="3" t="s">
        <v>1569</v>
      </c>
      <c r="D1124" s="3">
        <v>100</v>
      </c>
      <c r="E1124" s="4" t="s">
        <v>11</v>
      </c>
      <c r="F1124" s="5">
        <v>2.5</v>
      </c>
      <c r="G1124" s="3">
        <v>100</v>
      </c>
      <c r="I1124" s="7"/>
      <c r="J1124" s="8"/>
      <c r="K1124" s="9"/>
    </row>
    <row r="1125" spans="1:11" x14ac:dyDescent="0.25">
      <c r="A1125" t="str">
        <f>"51079067005"</f>
        <v>51079067005</v>
      </c>
      <c r="B1125" t="s">
        <v>1568</v>
      </c>
      <c r="C1125" t="s">
        <v>1570</v>
      </c>
      <c r="D1125">
        <v>20</v>
      </c>
      <c r="E1125" s="10" t="s">
        <v>11</v>
      </c>
      <c r="F1125" s="11">
        <v>2.5</v>
      </c>
      <c r="G1125">
        <v>20</v>
      </c>
      <c r="I1125" s="12"/>
      <c r="J1125" s="8"/>
      <c r="K1125" s="13"/>
    </row>
    <row r="1126" spans="1:11" x14ac:dyDescent="0.25">
      <c r="A1126" s="3" t="str">
        <f>"16729003001"</f>
        <v>16729003001</v>
      </c>
      <c r="B1126" s="3" t="s">
        <v>1571</v>
      </c>
      <c r="C1126" s="3" t="s">
        <v>1572</v>
      </c>
      <c r="D1126" s="3">
        <v>100</v>
      </c>
      <c r="E1126" s="4" t="s">
        <v>11</v>
      </c>
      <c r="F1126" s="5">
        <v>250</v>
      </c>
      <c r="G1126" s="3">
        <v>100</v>
      </c>
      <c r="I1126" s="7"/>
      <c r="J1126" s="8"/>
      <c r="K1126" s="9"/>
    </row>
    <row r="1127" spans="1:11" x14ac:dyDescent="0.25">
      <c r="A1127" t="str">
        <f>"16729003101"</f>
        <v>16729003101</v>
      </c>
      <c r="B1127" t="s">
        <v>1571</v>
      </c>
      <c r="C1127" t="s">
        <v>1573</v>
      </c>
      <c r="D1127">
        <v>100</v>
      </c>
      <c r="E1127" s="10" t="s">
        <v>11</v>
      </c>
      <c r="F1127" s="11">
        <v>500</v>
      </c>
      <c r="G1127">
        <v>100</v>
      </c>
      <c r="I1127" s="12"/>
      <c r="J1127" s="8"/>
      <c r="K1127" s="13"/>
    </row>
    <row r="1128" spans="1:11" x14ac:dyDescent="0.25">
      <c r="A1128" s="3" t="str">
        <f>"00406144501"</f>
        <v>00406144501</v>
      </c>
      <c r="B1128" s="3" t="s">
        <v>1574</v>
      </c>
      <c r="C1128" s="3" t="s">
        <v>1575</v>
      </c>
      <c r="D1128" s="3">
        <v>100</v>
      </c>
      <c r="E1128" s="4" t="s">
        <v>33</v>
      </c>
      <c r="F1128" s="5">
        <v>10</v>
      </c>
      <c r="G1128" s="3">
        <v>100</v>
      </c>
      <c r="I1128" s="7"/>
      <c r="J1128" s="8"/>
      <c r="K1128" s="9"/>
    </row>
    <row r="1129" spans="1:11" x14ac:dyDescent="0.25">
      <c r="A1129" t="str">
        <f>"62175031037"</f>
        <v>62175031037</v>
      </c>
      <c r="B1129" t="s">
        <v>1574</v>
      </c>
      <c r="C1129" t="s">
        <v>1576</v>
      </c>
      <c r="D1129">
        <v>100</v>
      </c>
      <c r="E1129" s="10" t="s">
        <v>33</v>
      </c>
      <c r="F1129" s="11">
        <v>18</v>
      </c>
      <c r="G1129">
        <v>100</v>
      </c>
      <c r="I1129" s="12"/>
      <c r="J1129" s="8"/>
      <c r="K1129" s="13"/>
    </row>
    <row r="1130" spans="1:11" x14ac:dyDescent="0.25">
      <c r="A1130" s="3" t="str">
        <f>"00406147301"</f>
        <v>00406147301</v>
      </c>
      <c r="B1130" s="3" t="s">
        <v>1574</v>
      </c>
      <c r="C1130" s="3" t="s">
        <v>1577</v>
      </c>
      <c r="D1130" s="3">
        <v>100</v>
      </c>
      <c r="E1130" s="4" t="s">
        <v>11</v>
      </c>
      <c r="F1130" s="5">
        <v>20</v>
      </c>
      <c r="G1130" s="3">
        <v>100</v>
      </c>
      <c r="I1130" s="7"/>
      <c r="J1130" s="8"/>
      <c r="K1130" s="9"/>
    </row>
    <row r="1131" spans="1:11" x14ac:dyDescent="0.25">
      <c r="A1131" t="str">
        <f>"68084086021"</f>
        <v>68084086021</v>
      </c>
      <c r="B1131" t="s">
        <v>1574</v>
      </c>
      <c r="C1131" t="s">
        <v>1578</v>
      </c>
      <c r="D1131">
        <v>30</v>
      </c>
      <c r="E1131" s="10" t="s">
        <v>11</v>
      </c>
      <c r="F1131" s="11">
        <v>20</v>
      </c>
      <c r="G1131">
        <v>30</v>
      </c>
      <c r="I1131" s="12"/>
      <c r="J1131" s="8"/>
      <c r="K1131" s="13"/>
    </row>
    <row r="1132" spans="1:11" x14ac:dyDescent="0.25">
      <c r="A1132" s="3" t="str">
        <f>"00603457821"</f>
        <v>00603457821</v>
      </c>
      <c r="B1132" s="3" t="s">
        <v>1574</v>
      </c>
      <c r="C1132" s="3" t="s">
        <v>1579</v>
      </c>
      <c r="D1132" s="3">
        <v>100</v>
      </c>
      <c r="E1132" s="4" t="s">
        <v>11</v>
      </c>
      <c r="F1132" s="5">
        <v>20</v>
      </c>
      <c r="G1132" s="3">
        <v>100</v>
      </c>
      <c r="I1132" s="7"/>
      <c r="J1132" s="8"/>
      <c r="K1132" s="9"/>
    </row>
    <row r="1133" spans="1:11" x14ac:dyDescent="0.25">
      <c r="A1133" t="str">
        <f>"00591271801"</f>
        <v>00591271801</v>
      </c>
      <c r="B1133" t="s">
        <v>1574</v>
      </c>
      <c r="C1133" t="s">
        <v>1580</v>
      </c>
      <c r="D1133">
        <v>100</v>
      </c>
      <c r="E1133" s="10" t="s">
        <v>11</v>
      </c>
      <c r="F1133" s="11">
        <v>54</v>
      </c>
      <c r="G1133">
        <v>100</v>
      </c>
      <c r="I1133" s="12"/>
      <c r="J1133" s="8"/>
      <c r="K1133" s="13"/>
    </row>
    <row r="1134" spans="1:11" x14ac:dyDescent="0.25">
      <c r="A1134" s="3" t="str">
        <f>"00603457621"</f>
        <v>00603457621</v>
      </c>
      <c r="B1134" s="3" t="s">
        <v>1574</v>
      </c>
      <c r="C1134" s="3" t="s">
        <v>1581</v>
      </c>
      <c r="D1134" s="3">
        <v>100</v>
      </c>
      <c r="E1134" s="4" t="s">
        <v>11</v>
      </c>
      <c r="F1134" s="5">
        <v>5</v>
      </c>
      <c r="G1134" s="3">
        <v>100</v>
      </c>
      <c r="I1134" s="7"/>
      <c r="J1134" s="8"/>
      <c r="K1134" s="9"/>
    </row>
    <row r="1135" spans="1:11" x14ac:dyDescent="0.25">
      <c r="A1135" t="str">
        <f>"68084081621"</f>
        <v>68084081621</v>
      </c>
      <c r="B1135" t="s">
        <v>1574</v>
      </c>
      <c r="C1135" t="s">
        <v>1582</v>
      </c>
      <c r="D1135">
        <v>30</v>
      </c>
      <c r="E1135" s="10" t="s">
        <v>11</v>
      </c>
      <c r="F1135" s="11">
        <v>27</v>
      </c>
      <c r="G1135">
        <v>30</v>
      </c>
      <c r="I1135" s="12"/>
      <c r="J1135" s="8"/>
      <c r="K1135" s="13"/>
    </row>
    <row r="1136" spans="1:11" x14ac:dyDescent="0.25">
      <c r="A1136" s="3" t="str">
        <f>"68001000501"</f>
        <v>68001000501</v>
      </c>
      <c r="B1136" s="3" t="s">
        <v>1583</v>
      </c>
      <c r="C1136" s="3" t="s">
        <v>1584</v>
      </c>
      <c r="D1136" s="3">
        <v>21</v>
      </c>
      <c r="E1136" s="4" t="s">
        <v>11</v>
      </c>
      <c r="F1136" s="5">
        <v>4</v>
      </c>
      <c r="G1136" s="3">
        <v>21</v>
      </c>
      <c r="I1136" s="7"/>
      <c r="J1136" s="8"/>
      <c r="K1136" s="9"/>
    </row>
    <row r="1137" spans="1:11" x14ac:dyDescent="0.25">
      <c r="A1137" t="str">
        <f>"59746000204"</f>
        <v>59746000204</v>
      </c>
      <c r="B1137" t="s">
        <v>1583</v>
      </c>
      <c r="C1137" t="s">
        <v>1585</v>
      </c>
      <c r="D1137">
        <v>25</v>
      </c>
      <c r="E1137" s="10" t="s">
        <v>11</v>
      </c>
      <c r="F1137" s="11">
        <v>8</v>
      </c>
      <c r="G1137">
        <v>25</v>
      </c>
      <c r="I1137" s="12"/>
      <c r="J1137" s="8"/>
      <c r="K1137" s="13"/>
    </row>
    <row r="1138" spans="1:11" x14ac:dyDescent="0.25">
      <c r="A1138" s="3" t="str">
        <f>"68084067601"</f>
        <v>68084067601</v>
      </c>
      <c r="B1138" s="3" t="s">
        <v>1586</v>
      </c>
      <c r="C1138" s="3" t="s">
        <v>1587</v>
      </c>
      <c r="D1138" s="3">
        <v>100</v>
      </c>
      <c r="E1138" s="4" t="s">
        <v>11</v>
      </c>
      <c r="F1138" s="5">
        <v>10</v>
      </c>
      <c r="G1138" s="3">
        <v>100</v>
      </c>
      <c r="I1138" s="7"/>
      <c r="J1138" s="8"/>
      <c r="K1138" s="9"/>
    </row>
    <row r="1139" spans="1:11" x14ac:dyDescent="0.25">
      <c r="A1139" t="str">
        <f>"00093220305"</f>
        <v>00093220305</v>
      </c>
      <c r="B1139" t="s">
        <v>1586</v>
      </c>
      <c r="C1139" t="s">
        <v>1588</v>
      </c>
      <c r="D1139">
        <v>500</v>
      </c>
      <c r="E1139" s="10" t="s">
        <v>11</v>
      </c>
      <c r="F1139" s="11">
        <v>10</v>
      </c>
      <c r="G1139">
        <v>500</v>
      </c>
      <c r="I1139" s="12"/>
      <c r="J1139" s="8"/>
      <c r="K1139" s="13"/>
    </row>
    <row r="1140" spans="1:11" x14ac:dyDescent="0.25">
      <c r="A1140" s="3" t="str">
        <f>"00093220401"</f>
        <v>00093220401</v>
      </c>
      <c r="B1140" s="3" t="s">
        <v>1586</v>
      </c>
      <c r="C1140" s="3" t="s">
        <v>1589</v>
      </c>
      <c r="D1140" s="3">
        <v>100</v>
      </c>
      <c r="E1140" s="4" t="s">
        <v>11</v>
      </c>
      <c r="F1140" s="5">
        <v>5</v>
      </c>
      <c r="G1140" s="3">
        <v>100</v>
      </c>
      <c r="I1140" s="7"/>
      <c r="J1140" s="8"/>
      <c r="K1140" s="9"/>
    </row>
    <row r="1141" spans="1:11" x14ac:dyDescent="0.25">
      <c r="A1141" t="str">
        <f>"00378617301"</f>
        <v>00378617301</v>
      </c>
      <c r="B1141" t="s">
        <v>1590</v>
      </c>
      <c r="C1141" t="s">
        <v>1591</v>
      </c>
      <c r="D1141">
        <v>100</v>
      </c>
      <c r="E1141" s="10" t="s">
        <v>11</v>
      </c>
      <c r="F1141" s="11">
        <v>5</v>
      </c>
      <c r="G1141">
        <v>100</v>
      </c>
      <c r="I1141" s="12"/>
      <c r="J1141" s="8"/>
      <c r="K1141" s="13"/>
    </row>
    <row r="1142" spans="1:11" x14ac:dyDescent="0.25">
      <c r="A1142" s="3" t="str">
        <f>"68084067301"</f>
        <v>68084067301</v>
      </c>
      <c r="B1142" s="3" t="s">
        <v>1592</v>
      </c>
      <c r="C1142" s="3" t="s">
        <v>1593</v>
      </c>
      <c r="D1142" s="3">
        <v>100</v>
      </c>
      <c r="E1142" s="4" t="s">
        <v>33</v>
      </c>
      <c r="F1142" s="5">
        <v>100</v>
      </c>
      <c r="G1142" s="3">
        <v>100</v>
      </c>
      <c r="I1142" s="7"/>
      <c r="J1142" s="8"/>
      <c r="K1142" s="9"/>
    </row>
    <row r="1143" spans="1:11" x14ac:dyDescent="0.25">
      <c r="A1143" t="str">
        <f>"68084066601"</f>
        <v>68084066601</v>
      </c>
      <c r="B1143" t="s">
        <v>1592</v>
      </c>
      <c r="C1143" t="s">
        <v>1594</v>
      </c>
      <c r="D1143">
        <v>100</v>
      </c>
      <c r="E1143" s="10" t="s">
        <v>33</v>
      </c>
      <c r="F1143" s="11">
        <v>50</v>
      </c>
      <c r="G1143">
        <v>100</v>
      </c>
      <c r="I1143" s="12"/>
      <c r="J1143" s="8"/>
      <c r="K1143" s="13"/>
    </row>
    <row r="1144" spans="1:11" x14ac:dyDescent="0.25">
      <c r="A1144" s="3" t="str">
        <f>"62584026701"</f>
        <v>62584026701</v>
      </c>
      <c r="B1144" s="3" t="s">
        <v>1595</v>
      </c>
      <c r="C1144" s="3" t="s">
        <v>1596</v>
      </c>
      <c r="D1144" s="3">
        <v>100</v>
      </c>
      <c r="E1144" s="4" t="s">
        <v>11</v>
      </c>
      <c r="F1144" s="5">
        <v>100</v>
      </c>
      <c r="G1144" s="3">
        <v>100</v>
      </c>
      <c r="I1144" s="7"/>
      <c r="J1144" s="8"/>
      <c r="K1144" s="9"/>
    </row>
    <row r="1145" spans="1:11" x14ac:dyDescent="0.25">
      <c r="A1145" t="str">
        <f>"68001011903"</f>
        <v>68001011903</v>
      </c>
      <c r="B1145" t="s">
        <v>1592</v>
      </c>
      <c r="C1145" t="s">
        <v>1597</v>
      </c>
      <c r="D1145">
        <v>500</v>
      </c>
      <c r="E1145" s="10" t="s">
        <v>11</v>
      </c>
      <c r="F1145" s="11">
        <v>100</v>
      </c>
      <c r="G1145">
        <v>500</v>
      </c>
      <c r="I1145" s="12"/>
      <c r="J1145" s="8"/>
      <c r="K1145" s="13"/>
    </row>
    <row r="1146" spans="1:11" x14ac:dyDescent="0.25">
      <c r="A1146" s="3" t="str">
        <f>"68001012100"</f>
        <v>68001012100</v>
      </c>
      <c r="B1146" s="3" t="s">
        <v>1592</v>
      </c>
      <c r="C1146" s="3" t="s">
        <v>1598</v>
      </c>
      <c r="D1146" s="3">
        <v>100</v>
      </c>
      <c r="E1146" s="4" t="s">
        <v>11</v>
      </c>
      <c r="F1146" s="5">
        <v>25</v>
      </c>
      <c r="G1146" s="3">
        <v>100</v>
      </c>
      <c r="I1146" s="7"/>
      <c r="J1146" s="8"/>
      <c r="K1146" s="9"/>
    </row>
    <row r="1147" spans="1:11" x14ac:dyDescent="0.25">
      <c r="A1147" t="str">
        <f>"68001012200"</f>
        <v>68001012200</v>
      </c>
      <c r="B1147" t="s">
        <v>1592</v>
      </c>
      <c r="C1147" t="s">
        <v>1599</v>
      </c>
      <c r="D1147">
        <v>100</v>
      </c>
      <c r="E1147" s="10" t="s">
        <v>11</v>
      </c>
      <c r="F1147" s="11">
        <v>50</v>
      </c>
      <c r="G1147">
        <v>100</v>
      </c>
      <c r="I1147" s="12"/>
      <c r="J1147" s="8"/>
      <c r="K1147" s="13"/>
    </row>
    <row r="1148" spans="1:11" x14ac:dyDescent="0.25">
      <c r="A1148" s="3" t="str">
        <f>"68001012203"</f>
        <v>68001012203</v>
      </c>
      <c r="B1148" s="3" t="s">
        <v>1592</v>
      </c>
      <c r="C1148" s="3" t="s">
        <v>1600</v>
      </c>
      <c r="D1148" s="3">
        <v>500</v>
      </c>
      <c r="E1148" s="4" t="s">
        <v>11</v>
      </c>
      <c r="F1148" s="5">
        <v>50</v>
      </c>
      <c r="G1148" s="3">
        <v>500</v>
      </c>
      <c r="I1148" s="7"/>
      <c r="J1148" s="8"/>
      <c r="K1148" s="9"/>
    </row>
    <row r="1149" spans="1:11" x14ac:dyDescent="0.25">
      <c r="A1149" t="str">
        <f>"00904632261"</f>
        <v>00904632261</v>
      </c>
      <c r="B1149" t="s">
        <v>1592</v>
      </c>
      <c r="C1149" t="s">
        <v>1601</v>
      </c>
      <c r="D1149">
        <v>100</v>
      </c>
      <c r="E1149" s="10" t="s">
        <v>33</v>
      </c>
      <c r="F1149" s="11">
        <v>25</v>
      </c>
      <c r="G1149">
        <v>100</v>
      </c>
      <c r="I1149" s="12"/>
      <c r="J1149" s="8"/>
      <c r="K1149" s="13"/>
    </row>
    <row r="1150" spans="1:11" x14ac:dyDescent="0.25">
      <c r="A1150" s="3" t="str">
        <f>"00904634260"</f>
        <v>00904634260</v>
      </c>
      <c r="B1150" s="3" t="s">
        <v>1595</v>
      </c>
      <c r="C1150" s="3" t="s">
        <v>1602</v>
      </c>
      <c r="D1150" s="3">
        <v>100</v>
      </c>
      <c r="E1150" s="4" t="s">
        <v>11</v>
      </c>
      <c r="F1150" s="5">
        <v>100</v>
      </c>
      <c r="G1150" s="3">
        <v>100</v>
      </c>
      <c r="I1150" s="7"/>
      <c r="J1150" s="8"/>
      <c r="K1150" s="9"/>
    </row>
    <row r="1151" spans="1:11" x14ac:dyDescent="0.25">
      <c r="A1151" t="str">
        <f>"50742010910"</f>
        <v>50742010910</v>
      </c>
      <c r="B1151" t="s">
        <v>1595</v>
      </c>
      <c r="C1151" t="s">
        <v>1603</v>
      </c>
      <c r="D1151">
        <v>1000</v>
      </c>
      <c r="E1151" s="10" t="s">
        <v>11</v>
      </c>
      <c r="F1151" s="11">
        <v>100</v>
      </c>
      <c r="G1151">
        <v>1000</v>
      </c>
      <c r="I1151" s="12"/>
      <c r="J1151" s="8"/>
      <c r="K1151" s="13"/>
    </row>
    <row r="1152" spans="1:11" x14ac:dyDescent="0.25">
      <c r="A1152" s="3" t="str">
        <f>"57664050652"</f>
        <v>57664050652</v>
      </c>
      <c r="B1152" s="3" t="s">
        <v>1595</v>
      </c>
      <c r="C1152" s="3" t="s">
        <v>1604</v>
      </c>
      <c r="D1152" s="3">
        <v>100</v>
      </c>
      <c r="E1152" s="4" t="s">
        <v>11</v>
      </c>
      <c r="F1152" s="5">
        <v>25</v>
      </c>
      <c r="G1152" s="3">
        <v>100</v>
      </c>
      <c r="I1152" s="7"/>
      <c r="J1152" s="8"/>
      <c r="K1152" s="9"/>
    </row>
    <row r="1153" spans="1:11" x14ac:dyDescent="0.25">
      <c r="A1153" t="str">
        <f>"51079025520"</f>
        <v>51079025520</v>
      </c>
      <c r="B1153" t="s">
        <v>1595</v>
      </c>
      <c r="C1153" t="s">
        <v>1605</v>
      </c>
      <c r="D1153">
        <v>100</v>
      </c>
      <c r="E1153" s="10" t="s">
        <v>11</v>
      </c>
      <c r="F1153" s="11">
        <v>25</v>
      </c>
      <c r="G1153">
        <v>100</v>
      </c>
      <c r="I1153" s="12"/>
      <c r="J1153" s="8"/>
      <c r="K1153" s="13"/>
    </row>
    <row r="1154" spans="1:11" x14ac:dyDescent="0.25">
      <c r="A1154" s="3" t="str">
        <f>"57664050658"</f>
        <v>57664050658</v>
      </c>
      <c r="B1154" s="3" t="s">
        <v>1595</v>
      </c>
      <c r="C1154" s="3" t="s">
        <v>1606</v>
      </c>
      <c r="D1154" s="3">
        <v>1000</v>
      </c>
      <c r="E1154" s="4" t="s">
        <v>11</v>
      </c>
      <c r="F1154" s="5">
        <v>25</v>
      </c>
      <c r="G1154" s="3">
        <v>1000</v>
      </c>
      <c r="I1154" s="7"/>
      <c r="J1154" s="8"/>
      <c r="K1154" s="9"/>
    </row>
    <row r="1155" spans="1:11" x14ac:dyDescent="0.25">
      <c r="A1155" t="str">
        <f>"00378459301"</f>
        <v>00378459301</v>
      </c>
      <c r="B1155" t="s">
        <v>1595</v>
      </c>
      <c r="C1155" t="s">
        <v>1607</v>
      </c>
      <c r="D1155">
        <v>100</v>
      </c>
      <c r="E1155" s="10" t="s">
        <v>11</v>
      </c>
      <c r="F1155" s="11">
        <v>37.5</v>
      </c>
      <c r="G1155">
        <v>100</v>
      </c>
      <c r="I1155" s="12"/>
      <c r="J1155" s="8"/>
      <c r="K1155" s="13"/>
    </row>
    <row r="1156" spans="1:11" x14ac:dyDescent="0.25">
      <c r="A1156" s="3" t="str">
        <f>"51079080120"</f>
        <v>51079080120</v>
      </c>
      <c r="B1156" s="3" t="s">
        <v>1595</v>
      </c>
      <c r="C1156" s="3" t="s">
        <v>1608</v>
      </c>
      <c r="D1156" s="3">
        <v>100</v>
      </c>
      <c r="E1156" s="4" t="s">
        <v>11</v>
      </c>
      <c r="F1156" s="5">
        <v>50</v>
      </c>
      <c r="G1156" s="3">
        <v>100</v>
      </c>
      <c r="I1156" s="7"/>
      <c r="J1156" s="8"/>
      <c r="K1156" s="9"/>
    </row>
    <row r="1157" spans="1:11" x14ac:dyDescent="0.25">
      <c r="A1157" t="str">
        <f>"50742010810"</f>
        <v>50742010810</v>
      </c>
      <c r="B1157" t="s">
        <v>1595</v>
      </c>
      <c r="C1157" t="s">
        <v>1609</v>
      </c>
      <c r="D1157">
        <v>1000</v>
      </c>
      <c r="E1157" s="10" t="s">
        <v>11</v>
      </c>
      <c r="F1157" s="11">
        <v>50</v>
      </c>
      <c r="G1157">
        <v>1000</v>
      </c>
      <c r="I1157" s="12"/>
      <c r="J1157" s="8"/>
      <c r="K1157" s="13"/>
    </row>
    <row r="1158" spans="1:11" x14ac:dyDescent="0.25">
      <c r="A1158" s="3" t="str">
        <f>"65862006399"</f>
        <v>65862006399</v>
      </c>
      <c r="B1158" s="3" t="s">
        <v>1595</v>
      </c>
      <c r="C1158" s="3" t="s">
        <v>1609</v>
      </c>
      <c r="D1158" s="3">
        <v>1000</v>
      </c>
      <c r="E1158" s="4" t="s">
        <v>11</v>
      </c>
      <c r="F1158" s="5">
        <v>50</v>
      </c>
      <c r="G1158" s="3">
        <v>1000</v>
      </c>
      <c r="I1158" s="7"/>
      <c r="J1158" s="8"/>
      <c r="K1158" s="9"/>
    </row>
    <row r="1159" spans="1:11" x14ac:dyDescent="0.25">
      <c r="A1159" t="str">
        <f>"57237010101"</f>
        <v>57237010101</v>
      </c>
      <c r="B1159" t="s">
        <v>1595</v>
      </c>
      <c r="C1159" t="s">
        <v>1610</v>
      </c>
      <c r="D1159">
        <v>100</v>
      </c>
      <c r="E1159" s="10" t="s">
        <v>11</v>
      </c>
      <c r="F1159" s="11">
        <v>50</v>
      </c>
      <c r="G1159">
        <v>100</v>
      </c>
      <c r="I1159" s="12"/>
      <c r="J1159" s="8"/>
      <c r="K1159" s="13"/>
    </row>
    <row r="1160" spans="1:11" x14ac:dyDescent="0.25">
      <c r="A1160" s="3" t="str">
        <f>"57237010199"</f>
        <v>57237010199</v>
      </c>
      <c r="B1160" s="3" t="s">
        <v>1595</v>
      </c>
      <c r="C1160" s="3" t="s">
        <v>1611</v>
      </c>
      <c r="D1160" s="3">
        <v>1000</v>
      </c>
      <c r="E1160" s="4" t="s">
        <v>11</v>
      </c>
      <c r="F1160" s="5">
        <v>50</v>
      </c>
      <c r="G1160" s="3">
        <v>1000</v>
      </c>
      <c r="I1160" s="7"/>
      <c r="J1160" s="8"/>
      <c r="K1160" s="9"/>
    </row>
    <row r="1161" spans="1:11" x14ac:dyDescent="0.25">
      <c r="A1161" t="str">
        <f>"00168032346"</f>
        <v>00168032346</v>
      </c>
      <c r="B1161" t="s">
        <v>1612</v>
      </c>
      <c r="C1161" t="s">
        <v>1613</v>
      </c>
      <c r="D1161">
        <v>45</v>
      </c>
      <c r="E1161" s="10" t="s">
        <v>43</v>
      </c>
      <c r="F1161" s="11">
        <v>0.75</v>
      </c>
      <c r="G1161">
        <v>45</v>
      </c>
      <c r="I1161" s="12"/>
      <c r="J1161" s="8"/>
      <c r="K1161" s="13"/>
    </row>
    <row r="1162" spans="1:11" x14ac:dyDescent="0.25">
      <c r="A1162" s="3" t="str">
        <f>"51672411606"</f>
        <v>51672411606</v>
      </c>
      <c r="B1162" s="3" t="s">
        <v>1612</v>
      </c>
      <c r="C1162" s="3" t="s">
        <v>1614</v>
      </c>
      <c r="D1162" s="3">
        <v>45</v>
      </c>
      <c r="E1162" s="4" t="s">
        <v>43</v>
      </c>
      <c r="F1162" s="5">
        <v>0.75</v>
      </c>
      <c r="G1162" s="3">
        <v>45</v>
      </c>
      <c r="I1162" s="7"/>
      <c r="J1162" s="8"/>
      <c r="K1162" s="9"/>
    </row>
    <row r="1163" spans="1:11" x14ac:dyDescent="0.25">
      <c r="A1163" t="str">
        <f>"00781707787"</f>
        <v>00781707787</v>
      </c>
      <c r="B1163" t="s">
        <v>1612</v>
      </c>
      <c r="C1163" t="s">
        <v>1615</v>
      </c>
      <c r="D1163">
        <v>70</v>
      </c>
      <c r="E1163" s="10" t="s">
        <v>1616</v>
      </c>
      <c r="F1163" s="11">
        <v>0.75</v>
      </c>
      <c r="G1163">
        <v>70</v>
      </c>
      <c r="I1163" s="12"/>
      <c r="J1163" s="8"/>
      <c r="K1163" s="13"/>
    </row>
    <row r="1164" spans="1:11" x14ac:dyDescent="0.25">
      <c r="A1164" s="3" t="str">
        <f>"50111033302"</f>
        <v>50111033302</v>
      </c>
      <c r="B1164" s="3" t="s">
        <v>1612</v>
      </c>
      <c r="C1164" s="3" t="s">
        <v>1617</v>
      </c>
      <c r="D1164" s="3">
        <v>500</v>
      </c>
      <c r="E1164" s="4" t="s">
        <v>11</v>
      </c>
      <c r="F1164" s="5">
        <v>250</v>
      </c>
      <c r="G1164" s="3">
        <v>500</v>
      </c>
      <c r="I1164" s="7"/>
      <c r="J1164" s="8"/>
      <c r="K1164" s="9"/>
    </row>
    <row r="1165" spans="1:11" x14ac:dyDescent="0.25">
      <c r="A1165" t="str">
        <f>"00409781124"</f>
        <v>00409781124</v>
      </c>
      <c r="B1165" t="s">
        <v>1618</v>
      </c>
      <c r="C1165" t="s">
        <v>1619</v>
      </c>
      <c r="D1165">
        <v>2400</v>
      </c>
      <c r="E1165" s="10" t="s">
        <v>11</v>
      </c>
      <c r="F1165" s="11">
        <v>500</v>
      </c>
      <c r="G1165">
        <v>100</v>
      </c>
      <c r="I1165" s="12"/>
      <c r="J1165" s="8"/>
      <c r="K1165" s="13"/>
    </row>
    <row r="1166" spans="1:11" x14ac:dyDescent="0.25">
      <c r="A1166" s="3" t="str">
        <f>"50111033402"</f>
        <v>50111033402</v>
      </c>
      <c r="B1166" s="3" t="s">
        <v>1612</v>
      </c>
      <c r="C1166" s="3" t="s">
        <v>1620</v>
      </c>
      <c r="D1166" s="3">
        <v>500</v>
      </c>
      <c r="E1166" s="4" t="s">
        <v>11</v>
      </c>
      <c r="F1166" s="5">
        <v>500</v>
      </c>
      <c r="G1166" s="3">
        <v>500</v>
      </c>
      <c r="I1166" s="7"/>
      <c r="J1166" s="8"/>
      <c r="K1166" s="9"/>
    </row>
    <row r="1167" spans="1:11" x14ac:dyDescent="0.25">
      <c r="A1167" t="str">
        <f>"68084096601"</f>
        <v>68084096601</v>
      </c>
      <c r="B1167" t="s">
        <v>1612</v>
      </c>
      <c r="C1167" t="s">
        <v>1621</v>
      </c>
      <c r="D1167">
        <v>100</v>
      </c>
      <c r="E1167" s="10" t="s">
        <v>11</v>
      </c>
      <c r="F1167" s="11">
        <v>500</v>
      </c>
      <c r="G1167">
        <v>100</v>
      </c>
      <c r="I1167" s="12"/>
      <c r="J1167" s="8"/>
      <c r="K1167" s="13"/>
    </row>
    <row r="1168" spans="1:11" x14ac:dyDescent="0.25">
      <c r="A1168" s="3" t="str">
        <f>"66993096045"</f>
        <v>66993096045</v>
      </c>
      <c r="B1168" s="3" t="s">
        <v>1612</v>
      </c>
      <c r="C1168" s="3" t="s">
        <v>1622</v>
      </c>
      <c r="D1168" s="3">
        <v>45</v>
      </c>
      <c r="E1168" s="4" t="s">
        <v>43</v>
      </c>
      <c r="F1168" s="5">
        <v>0.75</v>
      </c>
      <c r="G1168" s="3">
        <v>45</v>
      </c>
      <c r="I1168" s="7"/>
      <c r="J1168" s="8"/>
      <c r="K1168" s="9"/>
    </row>
    <row r="1169" spans="1:11" x14ac:dyDescent="0.25">
      <c r="A1169" t="str">
        <f>"00093873901"</f>
        <v>00093873901</v>
      </c>
      <c r="B1169" t="s">
        <v>1623</v>
      </c>
      <c r="C1169" t="s">
        <v>1624</v>
      </c>
      <c r="D1169">
        <v>100</v>
      </c>
      <c r="E1169" s="10" t="s">
        <v>11</v>
      </c>
      <c r="F1169" s="11">
        <v>150</v>
      </c>
      <c r="G1169">
        <v>100</v>
      </c>
      <c r="I1169" s="12"/>
      <c r="J1169" s="8"/>
      <c r="K1169" s="13"/>
    </row>
    <row r="1170" spans="1:11" x14ac:dyDescent="0.25">
      <c r="A1170" s="3" t="str">
        <f>"00904506860"</f>
        <v>00904506860</v>
      </c>
      <c r="B1170" s="3" t="s">
        <v>1625</v>
      </c>
      <c r="C1170" s="3" t="s">
        <v>1626</v>
      </c>
      <c r="D1170" s="3">
        <v>100</v>
      </c>
      <c r="E1170" s="4" t="s">
        <v>435</v>
      </c>
      <c r="F1170" s="5">
        <v>80</v>
      </c>
      <c r="G1170" s="3">
        <v>100</v>
      </c>
      <c r="I1170" s="7"/>
      <c r="J1170" s="8"/>
      <c r="K1170" s="9"/>
    </row>
    <row r="1171" spans="1:11" x14ac:dyDescent="0.25">
      <c r="A1171" t="str">
        <f>"00713025237"</f>
        <v>00713025237</v>
      </c>
      <c r="B1171" t="s">
        <v>1463</v>
      </c>
      <c r="C1171" t="s">
        <v>1627</v>
      </c>
      <c r="D1171">
        <v>45</v>
      </c>
      <c r="E1171" s="10" t="s">
        <v>1628</v>
      </c>
      <c r="F1171" s="11">
        <v>2</v>
      </c>
      <c r="G1171">
        <v>45</v>
      </c>
      <c r="I1171" s="12"/>
      <c r="J1171" s="8"/>
      <c r="K1171" s="13"/>
    </row>
    <row r="1172" spans="1:11" x14ac:dyDescent="0.25">
      <c r="A1172" s="3" t="str">
        <f>"51672203506"</f>
        <v>51672203506</v>
      </c>
      <c r="B1172" s="3" t="s">
        <v>1463</v>
      </c>
      <c r="C1172" s="3" t="s">
        <v>1629</v>
      </c>
      <c r="D1172" s="3">
        <v>45</v>
      </c>
      <c r="E1172" s="4" t="s">
        <v>43</v>
      </c>
      <c r="F1172" s="5">
        <v>2</v>
      </c>
      <c r="G1172" s="3">
        <v>45</v>
      </c>
      <c r="I1172" s="7"/>
      <c r="J1172" s="8"/>
      <c r="K1172" s="9"/>
    </row>
    <row r="1173" spans="1:11" x14ac:dyDescent="0.25">
      <c r="A1173" t="str">
        <f>"00472073514"</f>
        <v>00472073514</v>
      </c>
      <c r="B1173" t="s">
        <v>1463</v>
      </c>
      <c r="C1173" t="s">
        <v>1630</v>
      </c>
      <c r="D1173">
        <v>15</v>
      </c>
      <c r="E1173" s="10" t="s">
        <v>1631</v>
      </c>
      <c r="F1173" s="11">
        <v>2</v>
      </c>
      <c r="G1173">
        <v>14</v>
      </c>
      <c r="I1173" s="12"/>
      <c r="J1173" s="8"/>
      <c r="K1173" s="13"/>
    </row>
    <row r="1174" spans="1:11" x14ac:dyDescent="0.25">
      <c r="A1174" s="3" t="str">
        <f>"00472073556"</f>
        <v>00472073556</v>
      </c>
      <c r="B1174" s="3" t="s">
        <v>1463</v>
      </c>
      <c r="C1174" s="3" t="s">
        <v>1632</v>
      </c>
      <c r="D1174" s="3">
        <v>1</v>
      </c>
      <c r="E1174" s="4" t="s">
        <v>43</v>
      </c>
      <c r="F1174" s="5">
        <v>2</v>
      </c>
      <c r="G1174" s="3">
        <v>28</v>
      </c>
      <c r="I1174" s="7"/>
      <c r="J1174" s="8"/>
      <c r="K1174" s="9"/>
    </row>
    <row r="1175" spans="1:11" x14ac:dyDescent="0.25">
      <c r="A1175" t="str">
        <f>"00245021211"</f>
        <v>00245021211</v>
      </c>
      <c r="B1175" t="s">
        <v>1633</v>
      </c>
      <c r="C1175" t="s">
        <v>1634</v>
      </c>
      <c r="D1175">
        <v>100</v>
      </c>
      <c r="E1175" s="10" t="s">
        <v>11</v>
      </c>
      <c r="F1175" s="11">
        <v>5</v>
      </c>
      <c r="G1175">
        <v>100</v>
      </c>
      <c r="I1175" s="12"/>
      <c r="J1175" s="8"/>
      <c r="K1175" s="13"/>
    </row>
    <row r="1176" spans="1:11" x14ac:dyDescent="0.25">
      <c r="A1176" s="3" t="str">
        <f>"00904078914"</f>
        <v>00904078914</v>
      </c>
      <c r="B1176" s="3" t="s">
        <v>1635</v>
      </c>
      <c r="C1176" s="3" t="s">
        <v>1636</v>
      </c>
      <c r="D1176" s="3">
        <v>12</v>
      </c>
      <c r="E1176" s="4"/>
      <c r="F1176" s="5"/>
      <c r="G1176" s="3">
        <v>355</v>
      </c>
      <c r="I1176" s="7"/>
      <c r="J1176" s="8"/>
      <c r="K1176" s="9"/>
    </row>
    <row r="1177" spans="1:11" x14ac:dyDescent="0.25">
      <c r="A1177" t="str">
        <f>"00904078814"</f>
        <v>00904078814</v>
      </c>
      <c r="B1177" t="s">
        <v>1635</v>
      </c>
      <c r="C1177" t="s">
        <v>1637</v>
      </c>
      <c r="D1177">
        <v>12</v>
      </c>
      <c r="G1177">
        <v>355</v>
      </c>
      <c r="I1177" s="12"/>
      <c r="J1177" s="8"/>
      <c r="K1177" s="13"/>
    </row>
    <row r="1178" spans="1:11" x14ac:dyDescent="0.25">
      <c r="A1178" s="3" t="str">
        <f>"00574061816"</f>
        <v>00574061816</v>
      </c>
      <c r="B1178" s="3" t="s">
        <v>923</v>
      </c>
      <c r="C1178" s="3" t="s">
        <v>1638</v>
      </c>
      <c r="D1178" s="3">
        <v>16</v>
      </c>
      <c r="E1178" s="4"/>
      <c r="F1178" s="5"/>
      <c r="G1178" s="3">
        <v>473</v>
      </c>
      <c r="I1178" s="7"/>
      <c r="J1178" s="8"/>
      <c r="K1178" s="9"/>
    </row>
    <row r="1179" spans="1:11" x14ac:dyDescent="0.25">
      <c r="A1179" t="str">
        <f>"00591569550"</f>
        <v>00591569550</v>
      </c>
      <c r="B1179" t="s">
        <v>1639</v>
      </c>
      <c r="C1179" t="s">
        <v>1640</v>
      </c>
      <c r="D1179">
        <v>50</v>
      </c>
      <c r="E1179" s="10" t="s">
        <v>11</v>
      </c>
      <c r="F1179" s="11">
        <v>100</v>
      </c>
      <c r="G1179">
        <v>50</v>
      </c>
      <c r="I1179" s="12"/>
      <c r="J1179" s="8"/>
      <c r="K1179" s="13"/>
    </row>
    <row r="1180" spans="1:11" x14ac:dyDescent="0.25">
      <c r="A1180" s="3" t="str">
        <f>"65862021150"</f>
        <v>65862021150</v>
      </c>
      <c r="B1180" s="3" t="s">
        <v>1639</v>
      </c>
      <c r="C1180" s="3" t="s">
        <v>1640</v>
      </c>
      <c r="D1180" s="3">
        <v>50</v>
      </c>
      <c r="E1180" s="4" t="s">
        <v>11</v>
      </c>
      <c r="F1180" s="5">
        <v>100</v>
      </c>
      <c r="G1180" s="3">
        <v>50</v>
      </c>
      <c r="I1180" s="7"/>
      <c r="J1180" s="8"/>
      <c r="K1180" s="9"/>
    </row>
    <row r="1181" spans="1:11" x14ac:dyDescent="0.25">
      <c r="A1181" t="str">
        <f>"49884025701"</f>
        <v>49884025701</v>
      </c>
      <c r="B1181" t="s">
        <v>1641</v>
      </c>
      <c r="C1181" t="s">
        <v>1642</v>
      </c>
      <c r="D1181">
        <v>100</v>
      </c>
      <c r="E1181" s="10" t="s">
        <v>11</v>
      </c>
      <c r="F1181" s="11">
        <v>10</v>
      </c>
      <c r="G1181">
        <v>100</v>
      </c>
      <c r="I1181" s="12"/>
      <c r="J1181" s="8"/>
      <c r="K1181" s="13"/>
    </row>
    <row r="1182" spans="1:11" x14ac:dyDescent="0.25">
      <c r="A1182" s="3" t="str">
        <f>"53489038601"</f>
        <v>53489038601</v>
      </c>
      <c r="B1182" s="3" t="s">
        <v>1641</v>
      </c>
      <c r="C1182" s="3" t="s">
        <v>1643</v>
      </c>
      <c r="D1182" s="3">
        <v>100</v>
      </c>
      <c r="E1182" s="4" t="s">
        <v>11</v>
      </c>
      <c r="F1182" s="5">
        <v>2.5</v>
      </c>
      <c r="G1182" s="3">
        <v>100</v>
      </c>
      <c r="I1182" s="7"/>
      <c r="J1182" s="8"/>
      <c r="K1182" s="9"/>
    </row>
    <row r="1183" spans="1:11" x14ac:dyDescent="0.25">
      <c r="A1183" t="str">
        <f>"11523726808"</f>
        <v>11523726808</v>
      </c>
      <c r="B1183" t="s">
        <v>1644</v>
      </c>
      <c r="C1183" t="s">
        <v>1645</v>
      </c>
      <c r="D1183">
        <v>408</v>
      </c>
      <c r="G1183">
        <v>24</v>
      </c>
      <c r="I1183" s="12"/>
      <c r="J1183" s="8"/>
      <c r="K1183" s="13"/>
    </row>
    <row r="1184" spans="1:11" x14ac:dyDescent="0.25">
      <c r="A1184" s="3" t="str">
        <f>"50419042301"</f>
        <v>50419042301</v>
      </c>
      <c r="B1184" s="3" t="s">
        <v>1646</v>
      </c>
      <c r="C1184" s="3" t="s">
        <v>1647</v>
      </c>
      <c r="D1184" s="3">
        <v>1</v>
      </c>
      <c r="E1184" s="4" t="s">
        <v>11</v>
      </c>
      <c r="F1184" s="5">
        <v>52</v>
      </c>
      <c r="G1184" s="3">
        <v>1</v>
      </c>
      <c r="I1184" s="7"/>
      <c r="J1184" s="8"/>
      <c r="K1184" s="9"/>
    </row>
    <row r="1185" spans="1:11" x14ac:dyDescent="0.25">
      <c r="A1185" t="str">
        <f>"68084011901"</f>
        <v>68084011901</v>
      </c>
      <c r="B1185" t="s">
        <v>1648</v>
      </c>
      <c r="C1185" t="s">
        <v>1649</v>
      </c>
      <c r="D1185">
        <v>100</v>
      </c>
      <c r="E1185" s="10" t="s">
        <v>11</v>
      </c>
      <c r="F1185" s="11">
        <v>15</v>
      </c>
      <c r="G1185">
        <v>100</v>
      </c>
      <c r="I1185" s="12"/>
      <c r="J1185" s="8"/>
      <c r="K1185" s="13"/>
    </row>
    <row r="1186" spans="1:11" x14ac:dyDescent="0.25">
      <c r="A1186" s="3" t="str">
        <f>"13107003105"</f>
        <v>13107003105</v>
      </c>
      <c r="B1186" s="3" t="s">
        <v>1648</v>
      </c>
      <c r="C1186" s="3" t="s">
        <v>1650</v>
      </c>
      <c r="D1186" s="3">
        <v>500</v>
      </c>
      <c r="E1186" s="4" t="s">
        <v>11</v>
      </c>
      <c r="F1186" s="5">
        <v>15</v>
      </c>
      <c r="G1186" s="3">
        <v>500</v>
      </c>
      <c r="I1186" s="7"/>
      <c r="J1186" s="8"/>
      <c r="K1186" s="9"/>
    </row>
    <row r="1187" spans="1:11" x14ac:dyDescent="0.25">
      <c r="A1187" t="str">
        <f>"68084012001"</f>
        <v>68084012001</v>
      </c>
      <c r="B1187" t="s">
        <v>1648</v>
      </c>
      <c r="C1187" t="s">
        <v>1651</v>
      </c>
      <c r="D1187">
        <v>100</v>
      </c>
      <c r="E1187" s="10" t="s">
        <v>11</v>
      </c>
      <c r="F1187" s="11">
        <v>30</v>
      </c>
      <c r="G1187">
        <v>100</v>
      </c>
      <c r="I1187" s="12"/>
      <c r="J1187" s="8"/>
      <c r="K1187" s="13"/>
    </row>
    <row r="1188" spans="1:11" x14ac:dyDescent="0.25">
      <c r="A1188" s="3" t="str">
        <f>"13107000305"</f>
        <v>13107000305</v>
      </c>
      <c r="B1188" s="3" t="s">
        <v>1648</v>
      </c>
      <c r="C1188" s="3" t="s">
        <v>1652</v>
      </c>
      <c r="D1188" s="3">
        <v>500</v>
      </c>
      <c r="E1188" s="4" t="s">
        <v>11</v>
      </c>
      <c r="F1188" s="5">
        <v>30</v>
      </c>
      <c r="G1188" s="3">
        <v>500</v>
      </c>
      <c r="I1188" s="7"/>
      <c r="J1188" s="8"/>
      <c r="K1188" s="9"/>
    </row>
    <row r="1189" spans="1:11" x14ac:dyDescent="0.25">
      <c r="A1189" t="str">
        <f>"51079008820"</f>
        <v>51079008820</v>
      </c>
      <c r="B1189" t="s">
        <v>1648</v>
      </c>
      <c r="C1189" t="s">
        <v>1653</v>
      </c>
      <c r="D1189">
        <v>100</v>
      </c>
      <c r="E1189" s="10" t="s">
        <v>11</v>
      </c>
      <c r="F1189" s="11">
        <v>45</v>
      </c>
      <c r="G1189">
        <v>100</v>
      </c>
      <c r="I1189" s="12"/>
      <c r="J1189" s="8"/>
      <c r="K1189" s="13"/>
    </row>
    <row r="1190" spans="1:11" x14ac:dyDescent="0.25">
      <c r="A1190" s="3" t="str">
        <f>"13107003205"</f>
        <v>13107003205</v>
      </c>
      <c r="B1190" s="3" t="s">
        <v>1648</v>
      </c>
      <c r="C1190" s="3" t="s">
        <v>1654</v>
      </c>
      <c r="D1190" s="3">
        <v>500</v>
      </c>
      <c r="E1190" s="4" t="s">
        <v>11</v>
      </c>
      <c r="F1190" s="5">
        <v>45</v>
      </c>
      <c r="G1190" s="3">
        <v>500</v>
      </c>
      <c r="I1190" s="7"/>
      <c r="J1190" s="8"/>
      <c r="K1190" s="9"/>
    </row>
    <row r="1191" spans="1:11" x14ac:dyDescent="0.25">
      <c r="A1191" t="str">
        <f>"68084004101"</f>
        <v>68084004101</v>
      </c>
      <c r="B1191" t="s">
        <v>1655</v>
      </c>
      <c r="C1191" t="s">
        <v>1656</v>
      </c>
      <c r="D1191">
        <v>100</v>
      </c>
      <c r="E1191" s="10" t="s">
        <v>178</v>
      </c>
      <c r="F1191" s="11">
        <v>200</v>
      </c>
      <c r="G1191">
        <v>100</v>
      </c>
      <c r="I1191" s="12"/>
      <c r="J1191" s="8"/>
      <c r="K1191" s="13"/>
    </row>
    <row r="1192" spans="1:11" x14ac:dyDescent="0.25">
      <c r="A1192" s="3" t="str">
        <f>"00006468100"</f>
        <v>00006468100</v>
      </c>
      <c r="B1192" s="3" t="s">
        <v>1657</v>
      </c>
      <c r="C1192" s="3" t="s">
        <v>1658</v>
      </c>
      <c r="D1192" s="3">
        <v>10</v>
      </c>
      <c r="E1192" s="4"/>
      <c r="F1192" s="5"/>
      <c r="G1192" s="3">
        <v>10</v>
      </c>
      <c r="I1192" s="7"/>
      <c r="J1192" s="8"/>
      <c r="K1192" s="9"/>
    </row>
    <row r="1193" spans="1:11" x14ac:dyDescent="0.25">
      <c r="A1193" t="str">
        <f>"50742015230"</f>
        <v>50742015230</v>
      </c>
      <c r="B1193" t="s">
        <v>1659</v>
      </c>
      <c r="C1193" t="s">
        <v>1660</v>
      </c>
      <c r="D1193">
        <v>30</v>
      </c>
      <c r="E1193" s="10" t="s">
        <v>11</v>
      </c>
      <c r="F1193" s="11">
        <v>100</v>
      </c>
      <c r="G1193">
        <v>30</v>
      </c>
      <c r="I1193" s="12"/>
      <c r="J1193" s="8"/>
      <c r="K1193" s="13"/>
    </row>
    <row r="1194" spans="1:11" x14ac:dyDescent="0.25">
      <c r="A1194" s="3" t="str">
        <f>"50742015330"</f>
        <v>50742015330</v>
      </c>
      <c r="B1194" s="3" t="s">
        <v>1659</v>
      </c>
      <c r="C1194" s="3" t="s">
        <v>1661</v>
      </c>
      <c r="D1194" s="3">
        <v>30</v>
      </c>
      <c r="E1194" s="4" t="s">
        <v>11</v>
      </c>
      <c r="F1194" s="5">
        <v>200</v>
      </c>
      <c r="G1194" s="3">
        <v>30</v>
      </c>
      <c r="I1194" s="7"/>
      <c r="J1194" s="8"/>
      <c r="K1194" s="9"/>
    </row>
    <row r="1195" spans="1:11" x14ac:dyDescent="0.25">
      <c r="A1195" t="str">
        <f>"45802025742"</f>
        <v>45802025742</v>
      </c>
      <c r="B1195" t="s">
        <v>176</v>
      </c>
      <c r="C1195" t="s">
        <v>1662</v>
      </c>
      <c r="D1195">
        <v>45</v>
      </c>
      <c r="E1195" s="10" t="s">
        <v>43</v>
      </c>
      <c r="F1195" s="11">
        <v>0.1</v>
      </c>
      <c r="G1195">
        <v>45</v>
      </c>
      <c r="I1195" s="12"/>
      <c r="J1195" s="8"/>
      <c r="K1195" s="13"/>
    </row>
    <row r="1196" spans="1:11" x14ac:dyDescent="0.25">
      <c r="A1196" s="3" t="str">
        <f>"00093742610"</f>
        <v>00093742610</v>
      </c>
      <c r="B1196" s="3" t="s">
        <v>1663</v>
      </c>
      <c r="C1196" s="3" t="s">
        <v>1664</v>
      </c>
      <c r="D1196" s="3">
        <v>1000</v>
      </c>
      <c r="E1196" s="4" t="s">
        <v>11</v>
      </c>
      <c r="F1196" s="5">
        <v>10</v>
      </c>
      <c r="G1196" s="3">
        <v>1000</v>
      </c>
      <c r="I1196" s="7"/>
      <c r="J1196" s="8"/>
      <c r="K1196" s="9"/>
    </row>
    <row r="1197" spans="1:11" x14ac:dyDescent="0.25">
      <c r="A1197" t="str">
        <f>"00093742656"</f>
        <v>00093742656</v>
      </c>
      <c r="B1197" t="s">
        <v>1663</v>
      </c>
      <c r="C1197" t="s">
        <v>1665</v>
      </c>
      <c r="D1197">
        <v>30</v>
      </c>
      <c r="E1197" s="10" t="s">
        <v>11</v>
      </c>
      <c r="F1197" s="11">
        <v>10</v>
      </c>
      <c r="G1197">
        <v>30</v>
      </c>
      <c r="I1197" s="12"/>
      <c r="J1197" s="8"/>
      <c r="K1197" s="13"/>
    </row>
    <row r="1198" spans="1:11" x14ac:dyDescent="0.25">
      <c r="A1198" s="3" t="str">
        <f>"00093742698"</f>
        <v>00093742698</v>
      </c>
      <c r="B1198" s="3" t="s">
        <v>1663</v>
      </c>
      <c r="C1198" s="3" t="s">
        <v>1666</v>
      </c>
      <c r="D1198" s="3">
        <v>90</v>
      </c>
      <c r="E1198" s="4" t="s">
        <v>11</v>
      </c>
      <c r="F1198" s="5">
        <v>10</v>
      </c>
      <c r="G1198" s="3">
        <v>90</v>
      </c>
      <c r="I1198" s="7"/>
      <c r="J1198" s="8"/>
      <c r="K1198" s="9"/>
    </row>
    <row r="1199" spans="1:11" x14ac:dyDescent="0.25">
      <c r="A1199" t="str">
        <f>"00641612725"</f>
        <v>00641612725</v>
      </c>
      <c r="B1199" t="s">
        <v>1667</v>
      </c>
      <c r="C1199" t="s">
        <v>1668</v>
      </c>
      <c r="D1199">
        <v>25</v>
      </c>
      <c r="E1199" s="10" t="s">
        <v>20</v>
      </c>
      <c r="F1199" s="11">
        <v>10</v>
      </c>
      <c r="G1199">
        <v>1</v>
      </c>
      <c r="I1199" s="12"/>
      <c r="J1199" s="8"/>
      <c r="K1199" s="13"/>
    </row>
    <row r="1200" spans="1:11" x14ac:dyDescent="0.25">
      <c r="A1200" s="3" t="str">
        <f>"50930009808"</f>
        <v>50930009808</v>
      </c>
      <c r="B1200" s="3" t="s">
        <v>1669</v>
      </c>
      <c r="C1200" s="3" t="s">
        <v>1670</v>
      </c>
      <c r="D1200" s="3">
        <v>8</v>
      </c>
      <c r="E1200" s="4"/>
      <c r="F1200" s="5"/>
      <c r="G1200" s="3">
        <v>240</v>
      </c>
      <c r="I1200" s="7"/>
      <c r="J1200" s="8"/>
      <c r="K1200" s="9"/>
    </row>
    <row r="1201" spans="1:11" x14ac:dyDescent="0.25">
      <c r="A1201" t="str">
        <f>"63824000832"</f>
        <v>63824000832</v>
      </c>
      <c r="B1201" t="s">
        <v>1671</v>
      </c>
      <c r="C1201" t="s">
        <v>1672</v>
      </c>
      <c r="D1201">
        <v>20</v>
      </c>
      <c r="E1201" s="10" t="s">
        <v>11</v>
      </c>
      <c r="F1201" s="11">
        <v>600</v>
      </c>
      <c r="G1201">
        <v>20</v>
      </c>
      <c r="I1201" s="12"/>
      <c r="J1201" s="8"/>
      <c r="K1201" s="13"/>
    </row>
    <row r="1202" spans="1:11" x14ac:dyDescent="0.25">
      <c r="A1202" s="3" t="str">
        <f>"00024414260"</f>
        <v>00024414260</v>
      </c>
      <c r="B1202" s="3" t="s">
        <v>1673</v>
      </c>
      <c r="C1202" s="3" t="s">
        <v>1674</v>
      </c>
      <c r="D1202" s="3">
        <v>60</v>
      </c>
      <c r="E1202" s="4" t="s">
        <v>11</v>
      </c>
      <c r="F1202" s="5">
        <v>400</v>
      </c>
      <c r="G1202" s="3">
        <v>60</v>
      </c>
      <c r="I1202" s="7"/>
      <c r="J1202" s="8"/>
      <c r="K1202" s="9"/>
    </row>
    <row r="1203" spans="1:11" x14ac:dyDescent="0.25">
      <c r="A1203" t="str">
        <f>"68462018022"</f>
        <v>68462018022</v>
      </c>
      <c r="B1203" t="s">
        <v>1675</v>
      </c>
      <c r="C1203" t="s">
        <v>1676</v>
      </c>
      <c r="D1203">
        <v>22</v>
      </c>
      <c r="E1203" s="10" t="s">
        <v>43</v>
      </c>
      <c r="F1203" s="11">
        <v>2</v>
      </c>
      <c r="G1203">
        <v>22</v>
      </c>
      <c r="I1203" s="12"/>
      <c r="J1203" s="8"/>
      <c r="K1203" s="13"/>
    </row>
    <row r="1204" spans="1:11" x14ac:dyDescent="0.25">
      <c r="A1204" s="3" t="str">
        <f>"45802011222"</f>
        <v>45802011222</v>
      </c>
      <c r="B1204" s="3" t="s">
        <v>1675</v>
      </c>
      <c r="C1204" s="3" t="s">
        <v>1676</v>
      </c>
      <c r="D1204" s="3">
        <v>22</v>
      </c>
      <c r="E1204" s="4" t="s">
        <v>43</v>
      </c>
      <c r="F1204" s="5">
        <v>2</v>
      </c>
      <c r="G1204" s="3">
        <v>22</v>
      </c>
      <c r="I1204" s="7"/>
      <c r="J1204" s="8"/>
      <c r="K1204" s="9"/>
    </row>
    <row r="1205" spans="1:11" x14ac:dyDescent="0.25">
      <c r="A1205" t="str">
        <f>"51672131200"</f>
        <v>51672131200</v>
      </c>
      <c r="B1205" t="s">
        <v>1675</v>
      </c>
      <c r="C1205" t="s">
        <v>1676</v>
      </c>
      <c r="D1205">
        <v>22</v>
      </c>
      <c r="E1205" s="10" t="s">
        <v>43</v>
      </c>
      <c r="F1205" s="11">
        <v>2</v>
      </c>
      <c r="G1205">
        <v>22</v>
      </c>
      <c r="I1205" s="12"/>
      <c r="J1205" s="8"/>
      <c r="K1205" s="13"/>
    </row>
    <row r="1206" spans="1:11" x14ac:dyDescent="0.25">
      <c r="A1206" s="3" t="str">
        <f>"68462056417"</f>
        <v>68462056417</v>
      </c>
      <c r="B1206" s="3" t="s">
        <v>1677</v>
      </c>
      <c r="C1206" s="3" t="s">
        <v>1678</v>
      </c>
      <c r="D1206" s="3">
        <v>15</v>
      </c>
      <c r="E1206" s="4" t="s">
        <v>43</v>
      </c>
      <c r="F1206" s="5">
        <v>2</v>
      </c>
      <c r="G1206" s="3">
        <v>15</v>
      </c>
      <c r="I1206" s="7"/>
      <c r="J1206" s="8"/>
      <c r="K1206" s="9"/>
    </row>
    <row r="1207" spans="1:11" x14ac:dyDescent="0.25">
      <c r="A1207" t="str">
        <f>"68462056435"</f>
        <v>68462056435</v>
      </c>
      <c r="B1207" t="s">
        <v>1677</v>
      </c>
      <c r="C1207" t="s">
        <v>1679</v>
      </c>
      <c r="D1207">
        <v>30</v>
      </c>
      <c r="E1207" s="10" t="s">
        <v>43</v>
      </c>
      <c r="F1207" s="11">
        <v>2</v>
      </c>
      <c r="G1207">
        <v>30</v>
      </c>
      <c r="I1207" s="12"/>
      <c r="J1207" s="8"/>
      <c r="K1207" s="13"/>
    </row>
    <row r="1208" spans="1:11" x14ac:dyDescent="0.25">
      <c r="A1208" s="3" t="str">
        <f>"45802017453"</f>
        <v>45802017453</v>
      </c>
      <c r="B1208" s="3" t="s">
        <v>1680</v>
      </c>
      <c r="C1208" s="3" t="s">
        <v>1681</v>
      </c>
      <c r="D1208" s="3">
        <v>3</v>
      </c>
      <c r="E1208" s="4"/>
      <c r="F1208" s="5"/>
      <c r="G1208" s="3">
        <v>85</v>
      </c>
      <c r="I1208" s="7"/>
      <c r="J1208" s="8"/>
      <c r="K1208" s="9"/>
    </row>
    <row r="1209" spans="1:11" x14ac:dyDescent="0.25">
      <c r="A1209" t="str">
        <f>"68084079501"</f>
        <v>68084079501</v>
      </c>
      <c r="B1209" t="s">
        <v>1682</v>
      </c>
      <c r="C1209" t="s">
        <v>1683</v>
      </c>
      <c r="D1209">
        <v>100</v>
      </c>
      <c r="E1209" s="10" t="s">
        <v>11</v>
      </c>
      <c r="F1209" s="11">
        <v>250</v>
      </c>
      <c r="G1209">
        <v>100</v>
      </c>
      <c r="I1209" s="12"/>
      <c r="J1209" s="8"/>
      <c r="K1209" s="13"/>
    </row>
    <row r="1210" spans="1:11" x14ac:dyDescent="0.25">
      <c r="A1210" s="3" t="str">
        <f>"51079072120"</f>
        <v>51079072120</v>
      </c>
      <c r="B1210" s="3" t="s">
        <v>1682</v>
      </c>
      <c r="C1210" s="3" t="s">
        <v>1684</v>
      </c>
      <c r="D1210" s="3">
        <v>100</v>
      </c>
      <c r="E1210" s="4" t="s">
        <v>11</v>
      </c>
      <c r="F1210" s="5">
        <v>250</v>
      </c>
      <c r="G1210" s="3">
        <v>100</v>
      </c>
      <c r="I1210" s="7"/>
      <c r="J1210" s="8"/>
      <c r="K1210" s="9"/>
    </row>
    <row r="1211" spans="1:11" x14ac:dyDescent="0.25">
      <c r="A1211" t="str">
        <f>"68001022100"</f>
        <v>68001022100</v>
      </c>
      <c r="B1211" t="s">
        <v>1685</v>
      </c>
      <c r="C1211" t="s">
        <v>1686</v>
      </c>
      <c r="D1211">
        <v>100</v>
      </c>
      <c r="E1211" s="10" t="s">
        <v>11</v>
      </c>
      <c r="F1211" s="11">
        <v>20</v>
      </c>
      <c r="G1211">
        <v>100</v>
      </c>
      <c r="I1211" s="12"/>
      <c r="J1211" s="8"/>
      <c r="K1211" s="13"/>
    </row>
    <row r="1212" spans="1:11" x14ac:dyDescent="0.25">
      <c r="A1212" s="3" t="str">
        <f>"00378002801"</f>
        <v>00378002801</v>
      </c>
      <c r="B1212" s="3" t="s">
        <v>1685</v>
      </c>
      <c r="C1212" s="3" t="s">
        <v>1686</v>
      </c>
      <c r="D1212" s="3">
        <v>100</v>
      </c>
      <c r="E1212" s="4" t="s">
        <v>11</v>
      </c>
      <c r="F1212" s="5">
        <v>20</v>
      </c>
      <c r="G1212" s="3">
        <v>100</v>
      </c>
      <c r="I1212" s="7"/>
      <c r="J1212" s="8"/>
      <c r="K1212" s="9"/>
    </row>
    <row r="1213" spans="1:11" x14ac:dyDescent="0.25">
      <c r="A1213" t="str">
        <f>"68001031700"</f>
        <v>68001031700</v>
      </c>
      <c r="B1213" t="s">
        <v>1685</v>
      </c>
      <c r="C1213" t="s">
        <v>1687</v>
      </c>
      <c r="D1213">
        <v>100</v>
      </c>
      <c r="E1213" s="10" t="s">
        <v>11</v>
      </c>
      <c r="F1213" s="11">
        <v>20</v>
      </c>
      <c r="G1213">
        <v>100</v>
      </c>
      <c r="I1213" s="12"/>
      <c r="J1213" s="8"/>
      <c r="K1213" s="13"/>
    </row>
    <row r="1214" spans="1:11" x14ac:dyDescent="0.25">
      <c r="A1214" s="3" t="str">
        <f>"68001022000"</f>
        <v>68001022000</v>
      </c>
      <c r="B1214" s="3" t="s">
        <v>1685</v>
      </c>
      <c r="C1214" s="3" t="s">
        <v>1688</v>
      </c>
      <c r="D1214" s="3">
        <v>100</v>
      </c>
      <c r="E1214" s="4" t="s">
        <v>11</v>
      </c>
      <c r="F1214" s="5">
        <v>40</v>
      </c>
      <c r="G1214" s="3">
        <v>100</v>
      </c>
      <c r="I1214" s="7"/>
      <c r="J1214" s="8"/>
      <c r="K1214" s="9"/>
    </row>
    <row r="1215" spans="1:11" x14ac:dyDescent="0.25">
      <c r="A1215" t="str">
        <f>"25021014010"</f>
        <v>25021014010</v>
      </c>
      <c r="B1215" t="s">
        <v>1689</v>
      </c>
      <c r="C1215" t="s">
        <v>1690</v>
      </c>
      <c r="D1215">
        <v>10</v>
      </c>
      <c r="E1215" s="10" t="s">
        <v>48</v>
      </c>
      <c r="F1215" s="11">
        <v>2</v>
      </c>
      <c r="G1215">
        <v>1</v>
      </c>
      <c r="I1215" s="12"/>
      <c r="J1215" s="8"/>
      <c r="K1215" s="13"/>
    </row>
    <row r="1216" spans="1:11" x14ac:dyDescent="0.25">
      <c r="A1216" s="3" t="str">
        <f>"00409121501"</f>
        <v>00409121501</v>
      </c>
      <c r="B1216" s="3" t="s">
        <v>1691</v>
      </c>
      <c r="C1216" s="3" t="s">
        <v>1693</v>
      </c>
      <c r="D1216" s="3">
        <v>10</v>
      </c>
      <c r="E1216" s="4" t="s">
        <v>20</v>
      </c>
      <c r="F1216" s="5">
        <v>0.4</v>
      </c>
      <c r="G1216" s="3">
        <v>1</v>
      </c>
      <c r="I1216" s="7"/>
      <c r="J1216" s="8"/>
      <c r="K1216" s="9"/>
    </row>
    <row r="1217" spans="1:11" x14ac:dyDescent="0.25">
      <c r="A1217" t="str">
        <f>"76329336901"</f>
        <v>76329336901</v>
      </c>
      <c r="B1217" t="s">
        <v>1691</v>
      </c>
      <c r="C1217" t="s">
        <v>1692</v>
      </c>
      <c r="D1217">
        <v>20</v>
      </c>
      <c r="E1217" s="10" t="s">
        <v>1695</v>
      </c>
      <c r="F1217" s="11">
        <v>2</v>
      </c>
      <c r="G1217">
        <v>2</v>
      </c>
      <c r="I1217" s="12"/>
      <c r="J1217" s="8"/>
      <c r="K1217" s="13"/>
    </row>
    <row r="1218" spans="1:11" x14ac:dyDescent="0.25">
      <c r="A1218" s="3" t="str">
        <f>"76329146901"</f>
        <v>76329146901</v>
      </c>
      <c r="B1218" s="3" t="s">
        <v>1691</v>
      </c>
      <c r="C1218" s="3" t="s">
        <v>1694</v>
      </c>
      <c r="D1218" s="3">
        <v>20</v>
      </c>
      <c r="E1218" s="4" t="s">
        <v>363</v>
      </c>
      <c r="F1218" s="5">
        <v>2</v>
      </c>
      <c r="G1218" s="3">
        <v>2</v>
      </c>
      <c r="I1218" s="7"/>
      <c r="J1218" s="8"/>
      <c r="K1218" s="9"/>
    </row>
    <row r="1219" spans="1:11" x14ac:dyDescent="0.25">
      <c r="A1219" t="str">
        <f>"00406117001"</f>
        <v>00406117001</v>
      </c>
      <c r="B1219" t="s">
        <v>1696</v>
      </c>
      <c r="C1219" t="s">
        <v>1697</v>
      </c>
      <c r="D1219">
        <v>100</v>
      </c>
      <c r="E1219" s="10" t="s">
        <v>11</v>
      </c>
      <c r="F1219" s="11">
        <v>50</v>
      </c>
      <c r="G1219">
        <v>100</v>
      </c>
      <c r="I1219" s="12"/>
      <c r="J1219" s="8"/>
      <c r="K1219" s="13"/>
    </row>
    <row r="1220" spans="1:11" x14ac:dyDescent="0.25">
      <c r="A1220" s="3" t="str">
        <f>"00456320560"</f>
        <v>00456320560</v>
      </c>
      <c r="B1220" s="3" t="s">
        <v>1698</v>
      </c>
      <c r="C1220" s="3" t="s">
        <v>1699</v>
      </c>
      <c r="D1220" s="3">
        <v>60</v>
      </c>
      <c r="E1220" s="4" t="s">
        <v>11</v>
      </c>
      <c r="F1220" s="5">
        <v>5</v>
      </c>
      <c r="G1220" s="3">
        <v>60</v>
      </c>
      <c r="I1220" s="7"/>
      <c r="J1220" s="8"/>
      <c r="K1220" s="9"/>
    </row>
    <row r="1221" spans="1:11" x14ac:dyDescent="0.25">
      <c r="A1221" t="str">
        <f>"68462018801"</f>
        <v>68462018801</v>
      </c>
      <c r="B1221" t="s">
        <v>1700</v>
      </c>
      <c r="C1221" t="s">
        <v>1701</v>
      </c>
      <c r="D1221">
        <v>100</v>
      </c>
      <c r="E1221" s="10" t="s">
        <v>11</v>
      </c>
      <c r="F1221" s="11">
        <v>250</v>
      </c>
      <c r="G1221">
        <v>100</v>
      </c>
      <c r="I1221" s="12"/>
      <c r="J1221" s="8"/>
      <c r="K1221" s="13"/>
    </row>
    <row r="1222" spans="1:11" x14ac:dyDescent="0.25">
      <c r="A1222" s="3" t="str">
        <f>"60687026801"</f>
        <v>60687026801</v>
      </c>
      <c r="B1222" s="3" t="s">
        <v>1700</v>
      </c>
      <c r="C1222" s="3" t="s">
        <v>1702</v>
      </c>
      <c r="D1222" s="3">
        <v>100</v>
      </c>
      <c r="E1222" s="4" t="s">
        <v>11</v>
      </c>
      <c r="F1222" s="5">
        <v>500</v>
      </c>
      <c r="G1222" s="3">
        <v>100</v>
      </c>
      <c r="I1222" s="7"/>
      <c r="J1222" s="8"/>
      <c r="K1222" s="9"/>
    </row>
    <row r="1223" spans="1:11" x14ac:dyDescent="0.25">
      <c r="A1223" t="str">
        <f>"68462019001"</f>
        <v>68462019001</v>
      </c>
      <c r="B1223" t="s">
        <v>1700</v>
      </c>
      <c r="C1223" t="s">
        <v>1703</v>
      </c>
      <c r="D1223">
        <v>100</v>
      </c>
      <c r="E1223" s="10" t="s">
        <v>11</v>
      </c>
      <c r="F1223" s="11">
        <v>500</v>
      </c>
      <c r="G1223">
        <v>100</v>
      </c>
      <c r="I1223" s="12"/>
      <c r="J1223" s="8"/>
      <c r="K1223" s="13"/>
    </row>
    <row r="1224" spans="1:11" x14ac:dyDescent="0.25">
      <c r="A1224" s="3" t="str">
        <f>"68084012701"</f>
        <v>68084012701</v>
      </c>
      <c r="B1224" s="3" t="s">
        <v>1700</v>
      </c>
      <c r="C1224" s="3" t="s">
        <v>1704</v>
      </c>
      <c r="D1224" s="3">
        <v>100</v>
      </c>
      <c r="E1224" s="4" t="s">
        <v>11</v>
      </c>
      <c r="F1224" s="5">
        <v>500</v>
      </c>
      <c r="G1224" s="3">
        <v>100</v>
      </c>
      <c r="I1224" s="7"/>
      <c r="J1224" s="8"/>
      <c r="K1224" s="9"/>
    </row>
    <row r="1225" spans="1:11" x14ac:dyDescent="0.25">
      <c r="A1225" t="str">
        <f>"68462019005"</f>
        <v>68462019005</v>
      </c>
      <c r="B1225" t="s">
        <v>1700</v>
      </c>
      <c r="C1225" t="s">
        <v>1705</v>
      </c>
      <c r="D1225">
        <v>500</v>
      </c>
      <c r="E1225" s="10" t="s">
        <v>11</v>
      </c>
      <c r="F1225" s="11">
        <v>500</v>
      </c>
      <c r="G1225">
        <v>500</v>
      </c>
      <c r="I1225" s="12"/>
      <c r="J1225" s="8"/>
      <c r="K1225" s="13"/>
    </row>
    <row r="1226" spans="1:11" x14ac:dyDescent="0.25">
      <c r="A1226" s="3" t="str">
        <f>"41167580005"</f>
        <v>41167580005</v>
      </c>
      <c r="B1226" s="3" t="s">
        <v>1292</v>
      </c>
      <c r="C1226" s="3" t="s">
        <v>1706</v>
      </c>
      <c r="D1226" s="3">
        <v>0.56999999999999995</v>
      </c>
      <c r="E1226" s="4"/>
      <c r="F1226" s="5"/>
      <c r="G1226" s="3">
        <v>16.899999999999999</v>
      </c>
      <c r="I1226" s="7"/>
      <c r="J1226" s="8"/>
      <c r="K1226" s="9"/>
    </row>
    <row r="1227" spans="1:11" x14ac:dyDescent="0.25">
      <c r="A1227" t="str">
        <f>"52544055228"</f>
        <v>52544055228</v>
      </c>
      <c r="B1227" t="s">
        <v>1707</v>
      </c>
      <c r="C1227" t="s">
        <v>1708</v>
      </c>
      <c r="D1227">
        <v>168</v>
      </c>
      <c r="G1227">
        <v>28</v>
      </c>
      <c r="I1227" s="12"/>
      <c r="J1227" s="8"/>
      <c r="K1227" s="13"/>
    </row>
    <row r="1228" spans="1:11" x14ac:dyDescent="0.25">
      <c r="A1228" s="3" t="str">
        <f>"24208079062"</f>
        <v>24208079062</v>
      </c>
      <c r="B1228" s="3" t="s">
        <v>1709</v>
      </c>
      <c r="C1228" s="3" t="s">
        <v>1710</v>
      </c>
      <c r="D1228" s="3">
        <v>10</v>
      </c>
      <c r="E1228" s="4"/>
      <c r="F1228" s="5"/>
      <c r="G1228" s="3">
        <v>10</v>
      </c>
      <c r="I1228" s="7"/>
      <c r="J1228" s="8"/>
      <c r="K1228" s="9"/>
    </row>
    <row r="1229" spans="1:11" x14ac:dyDescent="0.25">
      <c r="A1229" t="str">
        <f>"61314064175"</f>
        <v>61314064175</v>
      </c>
      <c r="B1229" t="s">
        <v>1711</v>
      </c>
      <c r="C1229" t="s">
        <v>1712</v>
      </c>
      <c r="D1229">
        <v>7.5</v>
      </c>
      <c r="G1229">
        <v>7.5</v>
      </c>
      <c r="I1229" s="12"/>
      <c r="J1229" s="8"/>
      <c r="K1229" s="13"/>
    </row>
    <row r="1230" spans="1:11" x14ac:dyDescent="0.25">
      <c r="A1230" s="3" t="str">
        <f>"24208063110"</f>
        <v>24208063110</v>
      </c>
      <c r="B1230" s="3" t="s">
        <v>1711</v>
      </c>
      <c r="C1230" s="3" t="s">
        <v>1713</v>
      </c>
      <c r="D1230" s="3">
        <v>10</v>
      </c>
      <c r="E1230" s="4" t="s">
        <v>1714</v>
      </c>
      <c r="F1230" s="5" t="s">
        <v>1715</v>
      </c>
      <c r="G1230" s="3">
        <v>10</v>
      </c>
      <c r="I1230" s="7"/>
      <c r="J1230" s="8"/>
      <c r="K1230" s="9"/>
    </row>
    <row r="1231" spans="1:11" x14ac:dyDescent="0.25">
      <c r="A1231" t="str">
        <f>"61314064610"</f>
        <v>61314064610</v>
      </c>
      <c r="B1231" t="s">
        <v>1711</v>
      </c>
      <c r="C1231" t="s">
        <v>1713</v>
      </c>
      <c r="D1231">
        <v>10</v>
      </c>
      <c r="E1231" s="10" t="s">
        <v>1716</v>
      </c>
      <c r="F1231" s="11" t="s">
        <v>1715</v>
      </c>
      <c r="G1231">
        <v>10</v>
      </c>
      <c r="I1231" s="12"/>
      <c r="J1231" s="8"/>
      <c r="K1231" s="13"/>
    </row>
    <row r="1232" spans="1:11" x14ac:dyDescent="0.25">
      <c r="A1232" s="3" t="str">
        <f>"24208063562"</f>
        <v>24208063562</v>
      </c>
      <c r="B1232" s="3" t="s">
        <v>1711</v>
      </c>
      <c r="C1232" s="3" t="s">
        <v>1717</v>
      </c>
      <c r="D1232" s="3">
        <v>10</v>
      </c>
      <c r="E1232" s="4"/>
      <c r="F1232" s="5" t="s">
        <v>1715</v>
      </c>
      <c r="G1232" s="3">
        <v>10</v>
      </c>
      <c r="I1232" s="7"/>
      <c r="J1232" s="8"/>
      <c r="K1232" s="9"/>
    </row>
    <row r="1233" spans="1:11" x14ac:dyDescent="0.25">
      <c r="A1233" t="str">
        <f>"61314064511"</f>
        <v>61314064511</v>
      </c>
      <c r="B1233" t="s">
        <v>1711</v>
      </c>
      <c r="C1233" t="s">
        <v>1717</v>
      </c>
      <c r="D1233">
        <v>10</v>
      </c>
      <c r="E1233" s="10" t="s">
        <v>1716</v>
      </c>
      <c r="F1233" s="11" t="s">
        <v>1715</v>
      </c>
      <c r="G1233">
        <v>10</v>
      </c>
      <c r="I1233" s="12"/>
      <c r="J1233" s="8"/>
      <c r="K1233" s="13"/>
    </row>
    <row r="1234" spans="1:11" x14ac:dyDescent="0.25">
      <c r="A1234" s="3" t="str">
        <f>"24208083060"</f>
        <v>24208083060</v>
      </c>
      <c r="B1234" s="3" t="s">
        <v>1512</v>
      </c>
      <c r="C1234" s="3" t="s">
        <v>1718</v>
      </c>
      <c r="D1234" s="3">
        <v>5</v>
      </c>
      <c r="E1234" s="4"/>
      <c r="F1234" s="5"/>
      <c r="G1234" s="3">
        <v>5</v>
      </c>
      <c r="I1234" s="7"/>
      <c r="J1234" s="8"/>
      <c r="K1234" s="9"/>
    </row>
    <row r="1235" spans="1:11" x14ac:dyDescent="0.25">
      <c r="A1235" t="str">
        <f>"61314063006"</f>
        <v>61314063006</v>
      </c>
      <c r="B1235" t="s">
        <v>1512</v>
      </c>
      <c r="C1235" t="s">
        <v>1718</v>
      </c>
      <c r="D1235">
        <v>5</v>
      </c>
      <c r="G1235">
        <v>5</v>
      </c>
      <c r="I1235" s="12"/>
      <c r="J1235" s="8"/>
      <c r="K1235" s="13"/>
    </row>
    <row r="1236" spans="1:11" x14ac:dyDescent="0.25">
      <c r="A1236" s="3" t="str">
        <f>"00187526802"</f>
        <v>00187526802</v>
      </c>
      <c r="B1236" s="3" t="s">
        <v>1719</v>
      </c>
      <c r="C1236" s="3" t="s">
        <v>1720</v>
      </c>
      <c r="D1236" s="3">
        <v>90</v>
      </c>
      <c r="E1236" s="4"/>
      <c r="F1236" s="5"/>
      <c r="G1236" s="3">
        <v>90</v>
      </c>
      <c r="I1236" s="7"/>
      <c r="J1236" s="8"/>
      <c r="K1236" s="9"/>
    </row>
    <row r="1237" spans="1:11" x14ac:dyDescent="0.25">
      <c r="A1237" t="str">
        <f>"52544097701"</f>
        <v>52544097701</v>
      </c>
      <c r="B1237" t="s">
        <v>1721</v>
      </c>
      <c r="C1237" t="s">
        <v>1722</v>
      </c>
      <c r="D1237">
        <v>100</v>
      </c>
      <c r="F1237" s="11" t="s">
        <v>1723</v>
      </c>
      <c r="G1237">
        <v>100</v>
      </c>
      <c r="I1237" s="12"/>
      <c r="J1237" s="8"/>
      <c r="K1237" s="13"/>
    </row>
    <row r="1238" spans="1:11" x14ac:dyDescent="0.25">
      <c r="A1238" s="3" t="str">
        <f>"55513019001"</f>
        <v>55513019001</v>
      </c>
      <c r="B1238" s="3" t="s">
        <v>1724</v>
      </c>
      <c r="C1238" s="3" t="s">
        <v>1725</v>
      </c>
      <c r="D1238" s="3">
        <v>0</v>
      </c>
      <c r="E1238" s="4" t="s">
        <v>1726</v>
      </c>
      <c r="F1238" s="5" t="s">
        <v>1727</v>
      </c>
      <c r="G1238" s="3">
        <v>0.6</v>
      </c>
      <c r="I1238" s="7"/>
      <c r="J1238" s="8"/>
      <c r="K1238" s="9"/>
    </row>
    <row r="1239" spans="1:11" x14ac:dyDescent="0.25">
      <c r="A1239" t="str">
        <f>"55513019001"</f>
        <v>55513019001</v>
      </c>
      <c r="B1239" t="s">
        <v>1724</v>
      </c>
      <c r="C1239" t="s">
        <v>1728</v>
      </c>
      <c r="D1239">
        <v>0.6</v>
      </c>
      <c r="E1239" s="10" t="s">
        <v>11</v>
      </c>
      <c r="F1239" s="11">
        <v>6</v>
      </c>
      <c r="G1239">
        <v>0.6</v>
      </c>
      <c r="I1239" s="12"/>
      <c r="J1239" s="8"/>
      <c r="K1239" s="13"/>
    </row>
    <row r="1240" spans="1:11" x14ac:dyDescent="0.25">
      <c r="A1240" s="3" t="str">
        <f>"50474080403"</f>
        <v>50474080403</v>
      </c>
      <c r="B1240" s="3" t="s">
        <v>1729</v>
      </c>
      <c r="C1240" s="3" t="s">
        <v>1730</v>
      </c>
      <c r="D1240" s="3">
        <v>30</v>
      </c>
      <c r="E1240" s="4" t="s">
        <v>11</v>
      </c>
      <c r="F1240" s="5">
        <v>4</v>
      </c>
      <c r="G1240" s="3">
        <v>30</v>
      </c>
      <c r="I1240" s="7"/>
      <c r="J1240" s="8"/>
      <c r="K1240" s="9"/>
    </row>
    <row r="1241" spans="1:11" x14ac:dyDescent="0.25">
      <c r="A1241" t="str">
        <f>"00065000203"</f>
        <v>00065000203</v>
      </c>
      <c r="B1241" t="s">
        <v>1731</v>
      </c>
      <c r="C1241" t="s">
        <v>1732</v>
      </c>
      <c r="D1241">
        <v>3</v>
      </c>
      <c r="G1241">
        <v>3</v>
      </c>
      <c r="I1241" s="12"/>
      <c r="J1241" s="8"/>
      <c r="K1241" s="13"/>
    </row>
    <row r="1242" spans="1:11" x14ac:dyDescent="0.25">
      <c r="A1242" s="3" t="str">
        <f>"51991033106"</f>
        <v>51991033106</v>
      </c>
      <c r="B1242" s="3" t="s">
        <v>1733</v>
      </c>
      <c r="C1242" s="3" t="s">
        <v>1734</v>
      </c>
      <c r="D1242" s="3">
        <v>60</v>
      </c>
      <c r="E1242" s="4" t="s">
        <v>11</v>
      </c>
      <c r="F1242" s="5">
        <v>200</v>
      </c>
      <c r="G1242" s="3">
        <v>60</v>
      </c>
      <c r="I1242" s="7"/>
      <c r="J1242" s="8"/>
      <c r="K1242" s="9"/>
    </row>
    <row r="1243" spans="1:11" x14ac:dyDescent="0.25">
      <c r="A1243" t="str">
        <f>"50419048858"</f>
        <v>50419048858</v>
      </c>
      <c r="B1243" t="s">
        <v>1735</v>
      </c>
      <c r="C1243" t="s">
        <v>1736</v>
      </c>
      <c r="D1243">
        <v>120</v>
      </c>
      <c r="E1243" s="10" t="s">
        <v>11</v>
      </c>
      <c r="F1243" s="11">
        <v>200</v>
      </c>
      <c r="G1243">
        <v>120</v>
      </c>
      <c r="I1243" s="12"/>
      <c r="J1243" s="8"/>
      <c r="K1243" s="13"/>
    </row>
    <row r="1244" spans="1:11" x14ac:dyDescent="0.25">
      <c r="A1244" s="3" t="str">
        <f>"00186502031"</f>
        <v>00186502031</v>
      </c>
      <c r="B1244" s="3" t="s">
        <v>864</v>
      </c>
      <c r="C1244" s="3" t="s">
        <v>1738</v>
      </c>
      <c r="D1244" s="3">
        <v>30</v>
      </c>
      <c r="E1244" s="4" t="s">
        <v>11</v>
      </c>
      <c r="F1244" s="5">
        <v>20</v>
      </c>
      <c r="G1244" s="3">
        <v>30</v>
      </c>
      <c r="I1244" s="7"/>
      <c r="J1244" s="8"/>
      <c r="K1244" s="9"/>
    </row>
    <row r="1245" spans="1:11" x14ac:dyDescent="0.25">
      <c r="A1245" t="str">
        <f>"00186504054"</f>
        <v>00186504054</v>
      </c>
      <c r="B1245" t="s">
        <v>864</v>
      </c>
      <c r="C1245" t="s">
        <v>1737</v>
      </c>
      <c r="D1245">
        <v>90</v>
      </c>
      <c r="E1245" s="10" t="s">
        <v>11</v>
      </c>
      <c r="F1245" s="11">
        <v>40</v>
      </c>
      <c r="G1245">
        <v>90</v>
      </c>
      <c r="I1245" s="12"/>
      <c r="J1245" s="8"/>
      <c r="K1245" s="13"/>
    </row>
    <row r="1246" spans="1:11" x14ac:dyDescent="0.25">
      <c r="A1246" s="3" t="str">
        <f>"00536407601"</f>
        <v>00536407601</v>
      </c>
      <c r="B1246" s="3" t="s">
        <v>1739</v>
      </c>
      <c r="C1246" s="3" t="s">
        <v>1740</v>
      </c>
      <c r="D1246" s="3">
        <v>100</v>
      </c>
      <c r="E1246" s="4" t="s">
        <v>11</v>
      </c>
      <c r="F1246" s="5">
        <v>100</v>
      </c>
      <c r="G1246" s="3">
        <v>100</v>
      </c>
      <c r="I1246" s="7"/>
      <c r="J1246" s="8"/>
      <c r="K1246" s="9"/>
    </row>
    <row r="1247" spans="1:11" x14ac:dyDescent="0.25">
      <c r="A1247" t="str">
        <f>"00904227260"</f>
        <v>00904227260</v>
      </c>
      <c r="B1247" t="s">
        <v>1739</v>
      </c>
      <c r="C1247" t="s">
        <v>1741</v>
      </c>
      <c r="D1247">
        <v>100</v>
      </c>
      <c r="G1247">
        <v>100</v>
      </c>
      <c r="I1247" s="12"/>
      <c r="J1247" s="8"/>
      <c r="K1247" s="13"/>
    </row>
    <row r="1248" spans="1:11" x14ac:dyDescent="0.25">
      <c r="A1248" s="3" t="str">
        <f>"00228249710"</f>
        <v>00228249710</v>
      </c>
      <c r="B1248" s="3" t="s">
        <v>1742</v>
      </c>
      <c r="C1248" s="3" t="s">
        <v>1743</v>
      </c>
      <c r="D1248" s="3">
        <v>100</v>
      </c>
      <c r="E1248" s="4" t="s">
        <v>11</v>
      </c>
      <c r="F1248" s="5">
        <v>10</v>
      </c>
      <c r="G1248" s="3">
        <v>100</v>
      </c>
      <c r="I1248" s="7"/>
      <c r="J1248" s="8"/>
      <c r="K1248" s="9"/>
    </row>
    <row r="1249" spans="1:11" x14ac:dyDescent="0.25">
      <c r="A1249" t="str">
        <f>"00228253010"</f>
        <v>00228253010</v>
      </c>
      <c r="B1249" t="s">
        <v>1742</v>
      </c>
      <c r="C1249" t="s">
        <v>1744</v>
      </c>
      <c r="D1249">
        <v>100</v>
      </c>
      <c r="E1249" s="10" t="s">
        <v>11</v>
      </c>
      <c r="F1249" s="11">
        <v>20</v>
      </c>
      <c r="G1249">
        <v>100</v>
      </c>
      <c r="I1249" s="12"/>
      <c r="J1249" s="8"/>
      <c r="K1249" s="13"/>
    </row>
    <row r="1250" spans="1:11" x14ac:dyDescent="0.25">
      <c r="A1250" s="3" t="str">
        <f>"50742062101"</f>
        <v>50742062101</v>
      </c>
      <c r="B1250" s="3" t="s">
        <v>1742</v>
      </c>
      <c r="C1250" s="3" t="s">
        <v>1745</v>
      </c>
      <c r="D1250" s="3">
        <v>100</v>
      </c>
      <c r="E1250" s="4" t="s">
        <v>33</v>
      </c>
      <c r="F1250" s="5">
        <v>60</v>
      </c>
      <c r="G1250" s="3">
        <v>100</v>
      </c>
      <c r="I1250" s="7"/>
      <c r="J1250" s="8"/>
      <c r="K1250" s="9"/>
    </row>
    <row r="1251" spans="1:11" x14ac:dyDescent="0.25">
      <c r="A1251" t="str">
        <f>"00378035301"</f>
        <v>00378035301</v>
      </c>
      <c r="B1251" t="s">
        <v>1742</v>
      </c>
      <c r="C1251" t="s">
        <v>1746</v>
      </c>
      <c r="D1251">
        <v>100</v>
      </c>
      <c r="E1251" s="10" t="s">
        <v>33</v>
      </c>
      <c r="F1251" s="11">
        <v>30</v>
      </c>
      <c r="G1251">
        <v>100</v>
      </c>
      <c r="I1251" s="12"/>
      <c r="J1251" s="8"/>
      <c r="K1251" s="13"/>
    </row>
    <row r="1252" spans="1:11" x14ac:dyDescent="0.25">
      <c r="A1252" s="3" t="str">
        <f>"00378036001"</f>
        <v>00378036001</v>
      </c>
      <c r="B1252" s="3" t="s">
        <v>1742</v>
      </c>
      <c r="C1252" s="3" t="s">
        <v>1747</v>
      </c>
      <c r="D1252" s="3">
        <v>100</v>
      </c>
      <c r="E1252" s="4" t="s">
        <v>33</v>
      </c>
      <c r="F1252" s="5">
        <v>60</v>
      </c>
      <c r="G1252" s="3">
        <v>100</v>
      </c>
      <c r="I1252" s="7"/>
      <c r="J1252" s="8"/>
      <c r="K1252" s="9"/>
    </row>
    <row r="1253" spans="1:11" x14ac:dyDescent="0.25">
      <c r="A1253" t="str">
        <f>"00378039001"</f>
        <v>00378039001</v>
      </c>
      <c r="B1253" t="s">
        <v>1742</v>
      </c>
      <c r="C1253" t="s">
        <v>1748</v>
      </c>
      <c r="D1253">
        <v>100</v>
      </c>
      <c r="E1253" s="10" t="s">
        <v>33</v>
      </c>
      <c r="F1253" s="11">
        <v>90</v>
      </c>
      <c r="G1253">
        <v>100</v>
      </c>
      <c r="I1253" s="12"/>
      <c r="J1253" s="8"/>
      <c r="K1253" s="13"/>
    </row>
    <row r="1254" spans="1:11" x14ac:dyDescent="0.25">
      <c r="A1254" s="3" t="str">
        <f>"00281032630"</f>
        <v>00281032630</v>
      </c>
      <c r="B1254" s="3" t="s">
        <v>1749</v>
      </c>
      <c r="C1254" s="3" t="s">
        <v>1750</v>
      </c>
      <c r="D1254" s="3">
        <v>30</v>
      </c>
      <c r="E1254" s="4" t="s">
        <v>43</v>
      </c>
      <c r="F1254" s="5">
        <v>2</v>
      </c>
      <c r="G1254" s="3">
        <v>30</v>
      </c>
      <c r="I1254" s="7"/>
      <c r="J1254" s="8"/>
      <c r="K1254" s="9"/>
    </row>
    <row r="1255" spans="1:11" x14ac:dyDescent="0.25">
      <c r="A1255" t="str">
        <f>"68001000100"</f>
        <v>68001000100</v>
      </c>
      <c r="B1255" t="s">
        <v>1751</v>
      </c>
      <c r="C1255" t="s">
        <v>1752</v>
      </c>
      <c r="D1255">
        <v>100</v>
      </c>
      <c r="E1255" s="10" t="s">
        <v>11</v>
      </c>
      <c r="F1255" s="11">
        <v>100</v>
      </c>
      <c r="G1255">
        <v>100</v>
      </c>
      <c r="I1255" s="12"/>
      <c r="J1255" s="8"/>
      <c r="K1255" s="13"/>
    </row>
    <row r="1256" spans="1:11" x14ac:dyDescent="0.25">
      <c r="A1256" s="3" t="str">
        <f>"68084044601"</f>
        <v>68084044601</v>
      </c>
      <c r="B1256" s="3" t="s">
        <v>1751</v>
      </c>
      <c r="C1256" s="3" t="s">
        <v>1753</v>
      </c>
      <c r="D1256" s="3">
        <v>100</v>
      </c>
      <c r="E1256" s="4" t="s">
        <v>1754</v>
      </c>
      <c r="F1256" s="5">
        <v>100</v>
      </c>
      <c r="G1256" s="3">
        <v>100</v>
      </c>
      <c r="I1256" s="7"/>
      <c r="J1256" s="8"/>
      <c r="K1256" s="9"/>
    </row>
    <row r="1257" spans="1:11" x14ac:dyDescent="0.25">
      <c r="A1257" t="str">
        <f>"59762330403"</f>
        <v>59762330403</v>
      </c>
      <c r="B1257" t="s">
        <v>1749</v>
      </c>
      <c r="C1257" t="s">
        <v>1755</v>
      </c>
      <c r="D1257">
        <v>100</v>
      </c>
      <c r="E1257" s="10" t="s">
        <v>11</v>
      </c>
      <c r="F1257" s="11">
        <v>0.4</v>
      </c>
      <c r="G1257">
        <v>25</v>
      </c>
      <c r="I1257" s="12"/>
      <c r="J1257" s="8"/>
      <c r="K1257" s="13"/>
    </row>
    <row r="1258" spans="1:11" x14ac:dyDescent="0.25">
      <c r="A1258" s="3" t="str">
        <f>"00071041813"</f>
        <v>00071041813</v>
      </c>
      <c r="B1258" s="3" t="s">
        <v>1749</v>
      </c>
      <c r="C1258" s="3" t="s">
        <v>1756</v>
      </c>
      <c r="D1258" s="3">
        <v>100</v>
      </c>
      <c r="E1258" s="4" t="s">
        <v>1757</v>
      </c>
      <c r="F1258" s="5">
        <v>0.4</v>
      </c>
      <c r="G1258" s="3">
        <v>25</v>
      </c>
      <c r="I1258" s="7"/>
      <c r="J1258" s="8"/>
      <c r="K1258" s="9"/>
    </row>
    <row r="1259" spans="1:11" x14ac:dyDescent="0.25">
      <c r="A1259" t="str">
        <f>"00071041724"</f>
        <v>00071041724</v>
      </c>
      <c r="B1259" t="s">
        <v>1749</v>
      </c>
      <c r="C1259" t="s">
        <v>1758</v>
      </c>
      <c r="D1259">
        <v>100</v>
      </c>
      <c r="E1259" s="10" t="s">
        <v>11</v>
      </c>
      <c r="F1259" s="11">
        <v>0.3</v>
      </c>
      <c r="G1259">
        <v>100</v>
      </c>
      <c r="I1259" s="12"/>
      <c r="J1259" s="8"/>
      <c r="K1259" s="13"/>
    </row>
    <row r="1260" spans="1:11" x14ac:dyDescent="0.25">
      <c r="A1260" s="3" t="str">
        <f>"00555021110"</f>
        <v>00555021110</v>
      </c>
      <c r="B1260" s="3" t="s">
        <v>1759</v>
      </c>
      <c r="C1260" s="3" t="s">
        <v>1760</v>
      </c>
      <c r="D1260" s="3">
        <v>50</v>
      </c>
      <c r="E1260" s="4" t="s">
        <v>11</v>
      </c>
      <c r="F1260" s="5">
        <v>5</v>
      </c>
      <c r="G1260" s="3">
        <v>50</v>
      </c>
      <c r="I1260" s="7"/>
      <c r="J1260" s="8"/>
      <c r="K1260" s="9"/>
    </row>
    <row r="1261" spans="1:11" x14ac:dyDescent="0.25">
      <c r="A1261" t="str">
        <f>"00555901258"</f>
        <v>00555901258</v>
      </c>
      <c r="B1261" t="s">
        <v>1707</v>
      </c>
      <c r="C1261" t="s">
        <v>1761</v>
      </c>
      <c r="D1261">
        <v>168</v>
      </c>
      <c r="E1261" s="10" t="s">
        <v>11</v>
      </c>
      <c r="F1261" s="11">
        <v>0.35</v>
      </c>
      <c r="G1261">
        <v>28</v>
      </c>
      <c r="I1261" s="12"/>
      <c r="J1261" s="8"/>
      <c r="K1261" s="13"/>
    </row>
    <row r="1262" spans="1:11" x14ac:dyDescent="0.25">
      <c r="A1262" s="3" t="str">
        <f>"00591578601"</f>
        <v>00591578601</v>
      </c>
      <c r="B1262" s="3" t="s">
        <v>1762</v>
      </c>
      <c r="C1262" s="3" t="s">
        <v>1763</v>
      </c>
      <c r="D1262" s="3">
        <v>100</v>
      </c>
      <c r="E1262" s="4" t="s">
        <v>11</v>
      </c>
      <c r="F1262" s="5">
        <v>10</v>
      </c>
      <c r="G1262" s="3">
        <v>100</v>
      </c>
      <c r="I1262" s="7"/>
      <c r="J1262" s="8"/>
      <c r="K1262" s="9"/>
    </row>
    <row r="1263" spans="1:11" x14ac:dyDescent="0.25">
      <c r="A1263" t="str">
        <f>"00591578605"</f>
        <v>00591578605</v>
      </c>
      <c r="B1263" t="s">
        <v>1762</v>
      </c>
      <c r="C1263" t="s">
        <v>1764</v>
      </c>
      <c r="D1263">
        <v>500</v>
      </c>
      <c r="E1263" s="10" t="s">
        <v>11</v>
      </c>
      <c r="F1263" s="11">
        <v>10</v>
      </c>
      <c r="G1263">
        <v>500</v>
      </c>
      <c r="I1263" s="12"/>
      <c r="J1263" s="8"/>
      <c r="K1263" s="13"/>
    </row>
    <row r="1264" spans="1:11" x14ac:dyDescent="0.25">
      <c r="A1264" s="3" t="str">
        <f>"00121067816"</f>
        <v>00121067816</v>
      </c>
      <c r="B1264" s="3" t="s">
        <v>1762</v>
      </c>
      <c r="C1264" s="3" t="s">
        <v>1765</v>
      </c>
      <c r="D1264" s="3">
        <v>16</v>
      </c>
      <c r="E1264" s="4" t="s">
        <v>438</v>
      </c>
      <c r="F1264" s="5">
        <v>10</v>
      </c>
      <c r="G1264" s="3">
        <v>473</v>
      </c>
      <c r="I1264" s="7"/>
      <c r="J1264" s="8"/>
      <c r="K1264" s="9"/>
    </row>
    <row r="1265" spans="1:11" x14ac:dyDescent="0.25">
      <c r="A1265" t="str">
        <f>"00591578701"</f>
        <v>00591578701</v>
      </c>
      <c r="B1265" t="s">
        <v>1762</v>
      </c>
      <c r="C1265" t="s">
        <v>1766</v>
      </c>
      <c r="D1265">
        <v>100</v>
      </c>
      <c r="E1265" s="10" t="s">
        <v>11</v>
      </c>
      <c r="F1265" s="11">
        <v>25</v>
      </c>
      <c r="G1265">
        <v>100</v>
      </c>
      <c r="I1265" s="12"/>
      <c r="J1265" s="8"/>
      <c r="K1265" s="13"/>
    </row>
    <row r="1266" spans="1:11" x14ac:dyDescent="0.25">
      <c r="A1266" s="3" t="str">
        <f>"51862001601"</f>
        <v>51862001601</v>
      </c>
      <c r="B1266" s="3" t="s">
        <v>1762</v>
      </c>
      <c r="C1266" s="3" t="s">
        <v>1767</v>
      </c>
      <c r="D1266" s="3">
        <v>100</v>
      </c>
      <c r="E1266" s="4" t="s">
        <v>11</v>
      </c>
      <c r="F1266" s="5">
        <v>25</v>
      </c>
      <c r="G1266" s="3">
        <v>100</v>
      </c>
      <c r="I1266" s="7"/>
      <c r="J1266" s="8"/>
      <c r="K1266" s="9"/>
    </row>
    <row r="1267" spans="1:11" x14ac:dyDescent="0.25">
      <c r="A1267" t="str">
        <f>"00591578801"</f>
        <v>00591578801</v>
      </c>
      <c r="B1267" t="s">
        <v>1762</v>
      </c>
      <c r="C1267" t="s">
        <v>1768</v>
      </c>
      <c r="D1267">
        <v>100</v>
      </c>
      <c r="E1267" s="10" t="s">
        <v>11</v>
      </c>
      <c r="F1267" s="11">
        <v>50</v>
      </c>
      <c r="G1267">
        <v>100</v>
      </c>
      <c r="I1267" s="12"/>
      <c r="J1267" s="8"/>
      <c r="K1267" s="13"/>
    </row>
    <row r="1268" spans="1:11" x14ac:dyDescent="0.25">
      <c r="A1268" s="3" t="str">
        <f>"00591578901"</f>
        <v>00591578901</v>
      </c>
      <c r="B1268" s="3" t="s">
        <v>1762</v>
      </c>
      <c r="C1268" s="3" t="s">
        <v>1769</v>
      </c>
      <c r="D1268" s="3">
        <v>100</v>
      </c>
      <c r="E1268" s="4" t="s">
        <v>11</v>
      </c>
      <c r="F1268" s="5">
        <v>75</v>
      </c>
      <c r="G1268" s="3">
        <v>100</v>
      </c>
      <c r="I1268" s="7"/>
      <c r="J1268" s="8"/>
      <c r="K1268" s="9"/>
    </row>
    <row r="1269" spans="1:11" x14ac:dyDescent="0.25">
      <c r="A1269" t="str">
        <f>"51672400102"</f>
        <v>51672400102</v>
      </c>
      <c r="B1269" t="s">
        <v>1762</v>
      </c>
      <c r="C1269" t="s">
        <v>1770</v>
      </c>
      <c r="D1269">
        <v>500</v>
      </c>
      <c r="E1269" s="10" t="s">
        <v>11</v>
      </c>
      <c r="F1269" s="11">
        <v>10</v>
      </c>
      <c r="G1269">
        <v>500</v>
      </c>
      <c r="I1269" s="12"/>
      <c r="J1269" s="8"/>
      <c r="K1269" s="13"/>
    </row>
    <row r="1270" spans="1:11" x14ac:dyDescent="0.25">
      <c r="A1270" s="3" t="str">
        <f>"51672400205"</f>
        <v>51672400205</v>
      </c>
      <c r="B1270" s="3" t="s">
        <v>1762</v>
      </c>
      <c r="C1270" s="3" t="s">
        <v>1771</v>
      </c>
      <c r="D1270" s="3">
        <v>90</v>
      </c>
      <c r="E1270" s="4" t="s">
        <v>11</v>
      </c>
      <c r="F1270" s="5">
        <v>25</v>
      </c>
      <c r="G1270" s="3">
        <v>90</v>
      </c>
      <c r="I1270" s="7"/>
      <c r="J1270" s="8"/>
      <c r="K1270" s="9"/>
    </row>
    <row r="1271" spans="1:11" x14ac:dyDescent="0.25">
      <c r="A1271" t="str">
        <f>"51672400305"</f>
        <v>51672400305</v>
      </c>
      <c r="B1271" t="s">
        <v>1762</v>
      </c>
      <c r="C1271" t="s">
        <v>1772</v>
      </c>
      <c r="D1271">
        <v>90</v>
      </c>
      <c r="E1271" s="10" t="s">
        <v>11</v>
      </c>
      <c r="F1271" s="11">
        <v>50</v>
      </c>
      <c r="G1271">
        <v>90</v>
      </c>
      <c r="I1271" s="12"/>
      <c r="J1271" s="8"/>
      <c r="K1271" s="13"/>
    </row>
    <row r="1272" spans="1:11" x14ac:dyDescent="0.25">
      <c r="A1272" s="3" t="str">
        <f>"00074333330"</f>
        <v>00074333330</v>
      </c>
      <c r="B1272" s="3" t="s">
        <v>1773</v>
      </c>
      <c r="C1272" s="3" t="s">
        <v>1774</v>
      </c>
      <c r="D1272" s="3">
        <v>30</v>
      </c>
      <c r="E1272" s="4" t="s">
        <v>11</v>
      </c>
      <c r="F1272" s="5">
        <v>100</v>
      </c>
      <c r="G1272" s="3">
        <v>30</v>
      </c>
      <c r="I1272" s="7"/>
      <c r="J1272" s="8"/>
      <c r="K1272" s="9"/>
    </row>
    <row r="1273" spans="1:11" x14ac:dyDescent="0.25">
      <c r="A1273" t="str">
        <f>"00169183411"</f>
        <v>00169183411</v>
      </c>
      <c r="B1273" t="s">
        <v>1775</v>
      </c>
      <c r="C1273" t="s">
        <v>1776</v>
      </c>
      <c r="D1273">
        <v>10</v>
      </c>
      <c r="E1273" s="10" t="s">
        <v>1122</v>
      </c>
      <c r="F1273" s="11">
        <v>100</v>
      </c>
      <c r="G1273">
        <v>10</v>
      </c>
      <c r="I1273" s="12"/>
      <c r="J1273" s="8"/>
      <c r="K1273" s="13"/>
    </row>
    <row r="1274" spans="1:11" x14ac:dyDescent="0.25">
      <c r="A1274" s="3" t="str">
        <f>"00169183311"</f>
        <v>00169183311</v>
      </c>
      <c r="B1274" s="3" t="s">
        <v>1777</v>
      </c>
      <c r="C1274" s="3" t="s">
        <v>1778</v>
      </c>
      <c r="D1274" s="3">
        <v>10</v>
      </c>
      <c r="E1274" s="4" t="s">
        <v>1122</v>
      </c>
      <c r="F1274" s="5">
        <v>100</v>
      </c>
      <c r="G1274" s="3">
        <v>10</v>
      </c>
      <c r="I1274" s="7"/>
      <c r="J1274" s="8"/>
      <c r="K1274" s="9"/>
    </row>
    <row r="1275" spans="1:11" x14ac:dyDescent="0.25">
      <c r="A1275" t="str">
        <f>"00169750111"</f>
        <v>00169750111</v>
      </c>
      <c r="B1275" t="s">
        <v>1779</v>
      </c>
      <c r="C1275" t="s">
        <v>1780</v>
      </c>
      <c r="D1275">
        <v>10</v>
      </c>
      <c r="E1275" s="10" t="s">
        <v>1122</v>
      </c>
      <c r="F1275" s="11">
        <v>100</v>
      </c>
      <c r="G1275">
        <v>10</v>
      </c>
      <c r="I1275" s="12"/>
      <c r="J1275" s="8"/>
      <c r="K1275" s="13"/>
    </row>
    <row r="1276" spans="1:11" x14ac:dyDescent="0.25">
      <c r="A1276" s="3" t="str">
        <f>"64597030160"</f>
        <v>64597030160</v>
      </c>
      <c r="B1276" s="3" t="s">
        <v>1781</v>
      </c>
      <c r="C1276" s="3" t="s">
        <v>1782</v>
      </c>
      <c r="D1276" s="3">
        <v>60</v>
      </c>
      <c r="E1276" s="4" t="s">
        <v>1783</v>
      </c>
      <c r="F1276" s="5">
        <v>20</v>
      </c>
      <c r="G1276" s="3">
        <v>60</v>
      </c>
      <c r="I1276" s="7"/>
      <c r="J1276" s="8"/>
      <c r="K1276" s="9"/>
    </row>
    <row r="1277" spans="1:11" x14ac:dyDescent="0.25">
      <c r="A1277" t="str">
        <f>"00603148158"</f>
        <v>00603148158</v>
      </c>
      <c r="B1277" t="s">
        <v>1784</v>
      </c>
      <c r="C1277" t="s">
        <v>1785</v>
      </c>
      <c r="D1277">
        <v>16</v>
      </c>
      <c r="E1277" s="10" t="s">
        <v>1786</v>
      </c>
      <c r="F1277" s="11">
        <v>100</v>
      </c>
      <c r="G1277">
        <v>473</v>
      </c>
      <c r="I1277" s="12"/>
      <c r="J1277" s="8"/>
      <c r="K1277" s="13"/>
    </row>
    <row r="1278" spans="1:11" x14ac:dyDescent="0.25">
      <c r="A1278" s="3" t="str">
        <f>"60432053716"</f>
        <v>60432053716</v>
      </c>
      <c r="B1278" s="3" t="s">
        <v>1784</v>
      </c>
      <c r="C1278" s="3" t="s">
        <v>1785</v>
      </c>
      <c r="D1278" s="3">
        <v>16</v>
      </c>
      <c r="E1278" s="4" t="s">
        <v>1122</v>
      </c>
      <c r="F1278" s="5" t="s">
        <v>1787</v>
      </c>
      <c r="G1278" s="3">
        <v>473</v>
      </c>
      <c r="I1278" s="7"/>
      <c r="J1278" s="8"/>
      <c r="K1278" s="9"/>
    </row>
    <row r="1279" spans="1:11" x14ac:dyDescent="0.25">
      <c r="A1279" t="str">
        <f>"39822301503"</f>
        <v>39822301503</v>
      </c>
      <c r="B1279" t="s">
        <v>1784</v>
      </c>
      <c r="C1279" t="s">
        <v>1788</v>
      </c>
      <c r="D1279">
        <v>30</v>
      </c>
      <c r="E1279" s="10" t="s">
        <v>1789</v>
      </c>
      <c r="F1279" s="11" t="s">
        <v>1787</v>
      </c>
      <c r="G1279">
        <v>30</v>
      </c>
      <c r="I1279" s="12"/>
      <c r="J1279" s="8"/>
      <c r="K1279" s="13"/>
    </row>
    <row r="1280" spans="1:11" x14ac:dyDescent="0.25">
      <c r="A1280" s="3" t="str">
        <f>"42543005262"</f>
        <v>42543005262</v>
      </c>
      <c r="B1280" s="3" t="s">
        <v>1784</v>
      </c>
      <c r="C1280" s="3" t="s">
        <v>1790</v>
      </c>
      <c r="D1280" s="3">
        <v>30</v>
      </c>
      <c r="E1280" s="4" t="s">
        <v>1791</v>
      </c>
      <c r="F1280" s="5">
        <v>100</v>
      </c>
      <c r="G1280" s="3">
        <v>30</v>
      </c>
      <c r="I1280" s="7"/>
      <c r="J1280" s="8"/>
      <c r="K1280" s="9"/>
    </row>
    <row r="1281" spans="1:11" x14ac:dyDescent="0.25">
      <c r="A1281" t="str">
        <f>"61958210101"</f>
        <v>61958210101</v>
      </c>
      <c r="B1281" t="s">
        <v>1792</v>
      </c>
      <c r="C1281" t="s">
        <v>1793</v>
      </c>
      <c r="D1281">
        <v>30</v>
      </c>
      <c r="E1281" s="10" t="s">
        <v>917</v>
      </c>
      <c r="F1281" s="11" t="s">
        <v>658</v>
      </c>
      <c r="G1281">
        <v>30</v>
      </c>
      <c r="I1281" s="12"/>
      <c r="J1281" s="8"/>
      <c r="K1281" s="13"/>
    </row>
    <row r="1282" spans="1:11" x14ac:dyDescent="0.25">
      <c r="A1282" s="3" t="str">
        <f>"64980051505"</f>
        <v>64980051505</v>
      </c>
      <c r="B1282" s="3" t="s">
        <v>1794</v>
      </c>
      <c r="C1282" s="3" t="s">
        <v>1795</v>
      </c>
      <c r="D1282" s="3">
        <v>5</v>
      </c>
      <c r="E1282" s="4" t="s">
        <v>43</v>
      </c>
      <c r="F1282" s="5">
        <v>0.3</v>
      </c>
      <c r="G1282" s="3">
        <v>5</v>
      </c>
      <c r="I1282" s="7"/>
      <c r="J1282" s="8"/>
      <c r="K1282" s="9"/>
    </row>
    <row r="1283" spans="1:11" x14ac:dyDescent="0.25">
      <c r="A1283" t="str">
        <f>"17478071310"</f>
        <v>17478071310</v>
      </c>
      <c r="B1283" t="s">
        <v>1794</v>
      </c>
      <c r="C1283" t="s">
        <v>1796</v>
      </c>
      <c r="D1283">
        <v>5</v>
      </c>
      <c r="E1283" s="10" t="s">
        <v>43</v>
      </c>
      <c r="F1283" s="11">
        <v>0.3</v>
      </c>
      <c r="G1283">
        <v>5</v>
      </c>
      <c r="I1283" s="12"/>
      <c r="J1283" s="8"/>
      <c r="K1283" s="13"/>
    </row>
    <row r="1284" spans="1:11" x14ac:dyDescent="0.25">
      <c r="A1284" s="3" t="str">
        <f>"24208041005"</f>
        <v>24208041005</v>
      </c>
      <c r="B1284" s="3" t="s">
        <v>1794</v>
      </c>
      <c r="C1284" s="3" t="s">
        <v>1797</v>
      </c>
      <c r="D1284" s="3">
        <v>5</v>
      </c>
      <c r="E1284" s="4" t="s">
        <v>43</v>
      </c>
      <c r="F1284" s="5">
        <v>0.3</v>
      </c>
      <c r="G1284" s="3">
        <v>5</v>
      </c>
      <c r="I1284" s="7"/>
      <c r="J1284" s="8"/>
      <c r="K1284" s="9"/>
    </row>
    <row r="1285" spans="1:11" x14ac:dyDescent="0.25">
      <c r="A1285" t="str">
        <f>"55111026381"</f>
        <v>55111026381</v>
      </c>
      <c r="B1285" t="s">
        <v>1798</v>
      </c>
      <c r="C1285" t="s">
        <v>1799</v>
      </c>
      <c r="D1285">
        <v>30</v>
      </c>
      <c r="E1285" s="10" t="s">
        <v>11</v>
      </c>
      <c r="F1285" s="11">
        <v>10</v>
      </c>
      <c r="G1285">
        <v>30</v>
      </c>
      <c r="I1285" s="12"/>
      <c r="J1285" s="8"/>
      <c r="K1285" s="13"/>
    </row>
    <row r="1286" spans="1:11" x14ac:dyDescent="0.25">
      <c r="A1286" s="3" t="str">
        <f>"59746030732"</f>
        <v>59746030732</v>
      </c>
      <c r="B1286" s="3" t="s">
        <v>1798</v>
      </c>
      <c r="C1286" s="3" t="s">
        <v>1799</v>
      </c>
      <c r="D1286" s="3">
        <v>30</v>
      </c>
      <c r="E1286" s="4" t="s">
        <v>11</v>
      </c>
      <c r="F1286" s="5">
        <v>10</v>
      </c>
      <c r="G1286" s="3">
        <v>30</v>
      </c>
      <c r="I1286" s="7"/>
      <c r="J1286" s="8"/>
      <c r="K1286" s="9"/>
    </row>
    <row r="1287" spans="1:11" x14ac:dyDescent="0.25">
      <c r="A1287" t="str">
        <f>"66993068738"</f>
        <v>66993068738</v>
      </c>
      <c r="B1287" t="s">
        <v>1798</v>
      </c>
      <c r="C1287" t="s">
        <v>1799</v>
      </c>
      <c r="D1287">
        <v>30</v>
      </c>
      <c r="E1287" s="10" t="s">
        <v>11</v>
      </c>
      <c r="F1287" s="11">
        <v>10</v>
      </c>
      <c r="G1287">
        <v>30</v>
      </c>
      <c r="I1287" s="12"/>
      <c r="J1287" s="8"/>
      <c r="K1287" s="13"/>
    </row>
    <row r="1288" spans="1:11" x14ac:dyDescent="0.25">
      <c r="A1288" s="3" t="str">
        <f>"49884032155"</f>
        <v>49884032155</v>
      </c>
      <c r="B1288" s="3" t="s">
        <v>1798</v>
      </c>
      <c r="C1288" s="3" t="s">
        <v>1799</v>
      </c>
      <c r="D1288" s="3">
        <v>30</v>
      </c>
      <c r="E1288" s="4" t="s">
        <v>11</v>
      </c>
      <c r="F1288" s="5">
        <v>10</v>
      </c>
      <c r="G1288" s="3">
        <v>30</v>
      </c>
      <c r="I1288" s="7"/>
      <c r="J1288" s="8"/>
      <c r="K1288" s="9"/>
    </row>
    <row r="1289" spans="1:11" x14ac:dyDescent="0.25">
      <c r="A1289" t="str">
        <f>"43598016630"</f>
        <v>43598016630</v>
      </c>
      <c r="B1289" t="s">
        <v>1798</v>
      </c>
      <c r="C1289" t="s">
        <v>1800</v>
      </c>
      <c r="D1289">
        <v>30</v>
      </c>
      <c r="E1289" s="10" t="s">
        <v>11</v>
      </c>
      <c r="F1289" s="11">
        <v>10</v>
      </c>
      <c r="G1289">
        <v>30</v>
      </c>
      <c r="I1289" s="12"/>
      <c r="J1289" s="8"/>
      <c r="K1289" s="13"/>
    </row>
    <row r="1290" spans="1:11" x14ac:dyDescent="0.25">
      <c r="A1290" s="3" t="str">
        <f>"43598016605"</f>
        <v>43598016605</v>
      </c>
      <c r="B1290" s="3" t="s">
        <v>1798</v>
      </c>
      <c r="C1290" s="3" t="s">
        <v>1801</v>
      </c>
      <c r="D1290" s="3">
        <v>500</v>
      </c>
      <c r="E1290" s="4" t="s">
        <v>11</v>
      </c>
      <c r="F1290" s="5">
        <v>10</v>
      </c>
      <c r="G1290" s="3">
        <v>500</v>
      </c>
      <c r="I1290" s="7"/>
      <c r="J1290" s="8"/>
      <c r="K1290" s="9"/>
    </row>
    <row r="1291" spans="1:11" x14ac:dyDescent="0.25">
      <c r="A1291" t="str">
        <f>"00517095501"</f>
        <v>00517095501</v>
      </c>
      <c r="B1291" t="s">
        <v>1798</v>
      </c>
      <c r="C1291" t="s">
        <v>1802</v>
      </c>
      <c r="D1291">
        <v>0</v>
      </c>
      <c r="E1291" s="10" t="s">
        <v>11</v>
      </c>
      <c r="F1291" s="11">
        <v>10</v>
      </c>
      <c r="G1291">
        <v>1</v>
      </c>
      <c r="I1291" s="12"/>
      <c r="J1291" s="8"/>
      <c r="K1291" s="13"/>
    </row>
    <row r="1292" spans="1:11" x14ac:dyDescent="0.25">
      <c r="A1292" s="3" t="str">
        <f>"60687020821"</f>
        <v>60687020821</v>
      </c>
      <c r="B1292" s="3" t="s">
        <v>1798</v>
      </c>
      <c r="C1292" s="3" t="s">
        <v>1803</v>
      </c>
      <c r="D1292" s="3">
        <v>30</v>
      </c>
      <c r="E1292" s="4" t="s">
        <v>1804</v>
      </c>
      <c r="F1292" s="5">
        <v>15</v>
      </c>
      <c r="G1292" s="3">
        <v>30</v>
      </c>
      <c r="I1292" s="7"/>
      <c r="J1292" s="8"/>
      <c r="K1292" s="9"/>
    </row>
    <row r="1293" spans="1:11" x14ac:dyDescent="0.25">
      <c r="A1293" t="str">
        <f>"55111026481"</f>
        <v>55111026481</v>
      </c>
      <c r="B1293" t="s">
        <v>1798</v>
      </c>
      <c r="C1293" t="s">
        <v>1805</v>
      </c>
      <c r="D1293">
        <v>30</v>
      </c>
      <c r="E1293" s="10" t="s">
        <v>1804</v>
      </c>
      <c r="F1293" s="11">
        <v>15</v>
      </c>
      <c r="G1293">
        <v>30</v>
      </c>
      <c r="I1293" s="12"/>
      <c r="J1293" s="8"/>
      <c r="K1293" s="13"/>
    </row>
    <row r="1294" spans="1:11" x14ac:dyDescent="0.25">
      <c r="A1294" s="3" t="str">
        <f>"60505327703"</f>
        <v>60505327703</v>
      </c>
      <c r="B1294" s="3" t="s">
        <v>1798</v>
      </c>
      <c r="C1294" s="3" t="s">
        <v>1807</v>
      </c>
      <c r="D1294" s="3">
        <v>30</v>
      </c>
      <c r="E1294" s="4" t="s">
        <v>1804</v>
      </c>
      <c r="F1294" s="5">
        <v>15</v>
      </c>
      <c r="G1294" s="3">
        <v>30</v>
      </c>
      <c r="I1294" s="7"/>
      <c r="J1294" s="8"/>
      <c r="K1294" s="9"/>
    </row>
    <row r="1295" spans="1:11" x14ac:dyDescent="0.25">
      <c r="A1295" t="str">
        <f>"59746030832"</f>
        <v>59746030832</v>
      </c>
      <c r="B1295" t="s">
        <v>1798</v>
      </c>
      <c r="C1295" t="s">
        <v>1806</v>
      </c>
      <c r="D1295">
        <v>30</v>
      </c>
      <c r="E1295" s="10" t="s">
        <v>1804</v>
      </c>
      <c r="F1295" s="11">
        <v>15</v>
      </c>
      <c r="G1295">
        <v>30</v>
      </c>
      <c r="I1295" s="12"/>
      <c r="J1295" s="8"/>
      <c r="K1295" s="13"/>
    </row>
    <row r="1296" spans="1:11" x14ac:dyDescent="0.25">
      <c r="A1296" s="3" t="str">
        <f>"00093577110"</f>
        <v>00093577110</v>
      </c>
      <c r="B1296" s="3" t="s">
        <v>1798</v>
      </c>
      <c r="C1296" s="3" t="s">
        <v>1808</v>
      </c>
      <c r="D1296" s="3">
        <v>1000</v>
      </c>
      <c r="E1296" s="4" t="s">
        <v>11</v>
      </c>
      <c r="F1296" s="5">
        <v>15</v>
      </c>
      <c r="G1296" s="3">
        <v>1000</v>
      </c>
      <c r="I1296" s="7"/>
      <c r="J1296" s="8"/>
      <c r="K1296" s="9"/>
    </row>
    <row r="1297" spans="1:11" x14ac:dyDescent="0.25">
      <c r="A1297" t="str">
        <f>"00093576710"</f>
        <v>00093576710</v>
      </c>
      <c r="B1297" t="s">
        <v>1798</v>
      </c>
      <c r="C1297" t="s">
        <v>1809</v>
      </c>
      <c r="D1297">
        <v>1000</v>
      </c>
      <c r="E1297" s="10" t="s">
        <v>11</v>
      </c>
      <c r="F1297" s="11">
        <v>2.5</v>
      </c>
      <c r="G1297">
        <v>1000</v>
      </c>
      <c r="I1297" s="12"/>
      <c r="J1297" s="8"/>
      <c r="K1297" s="13"/>
    </row>
    <row r="1298" spans="1:11" x14ac:dyDescent="0.25">
      <c r="A1298" s="3" t="str">
        <f>"60505311003"</f>
        <v>60505311003</v>
      </c>
      <c r="B1298" s="3" t="s">
        <v>1798</v>
      </c>
      <c r="C1298" s="3" t="s">
        <v>1810</v>
      </c>
      <c r="D1298" s="3">
        <v>30</v>
      </c>
      <c r="E1298" s="4" t="s">
        <v>11</v>
      </c>
      <c r="F1298" s="5">
        <v>2.5</v>
      </c>
      <c r="G1298" s="3">
        <v>30</v>
      </c>
      <c r="I1298" s="7"/>
      <c r="J1298" s="8"/>
      <c r="K1298" s="9"/>
    </row>
    <row r="1299" spans="1:11" x14ac:dyDescent="0.25">
      <c r="A1299" t="str">
        <f>"60687021921"</f>
        <v>60687021921</v>
      </c>
      <c r="B1299" t="s">
        <v>1798</v>
      </c>
      <c r="C1299" t="s">
        <v>1811</v>
      </c>
      <c r="D1299">
        <v>30</v>
      </c>
      <c r="E1299" s="10" t="s">
        <v>1813</v>
      </c>
      <c r="F1299" s="11">
        <v>20</v>
      </c>
      <c r="G1299">
        <v>30</v>
      </c>
      <c r="I1299" s="12"/>
      <c r="J1299" s="8"/>
      <c r="K1299" s="13"/>
    </row>
    <row r="1300" spans="1:11" x14ac:dyDescent="0.25">
      <c r="A1300" s="3" t="str">
        <f>"55111026581"</f>
        <v>55111026581</v>
      </c>
      <c r="B1300" s="3" t="s">
        <v>1798</v>
      </c>
      <c r="C1300" s="3" t="s">
        <v>1812</v>
      </c>
      <c r="D1300" s="3">
        <v>30</v>
      </c>
      <c r="E1300" s="4" t="s">
        <v>1804</v>
      </c>
      <c r="F1300" s="5">
        <v>20</v>
      </c>
      <c r="G1300" s="3">
        <v>30</v>
      </c>
      <c r="I1300" s="7"/>
      <c r="J1300" s="8"/>
      <c r="K1300" s="9"/>
    </row>
    <row r="1301" spans="1:11" x14ac:dyDescent="0.25">
      <c r="A1301" t="str">
        <f>"60505327803"</f>
        <v>60505327803</v>
      </c>
      <c r="B1301" t="s">
        <v>1798</v>
      </c>
      <c r="C1301" t="s">
        <v>1816</v>
      </c>
      <c r="D1301">
        <v>30</v>
      </c>
      <c r="E1301" s="10" t="s">
        <v>1804</v>
      </c>
      <c r="F1301" s="11">
        <v>20</v>
      </c>
      <c r="G1301">
        <v>30</v>
      </c>
      <c r="I1301" s="12"/>
      <c r="J1301" s="8"/>
      <c r="K1301" s="13"/>
    </row>
    <row r="1302" spans="1:11" x14ac:dyDescent="0.25">
      <c r="A1302" s="3" t="str">
        <f>"59746030932"</f>
        <v>59746030932</v>
      </c>
      <c r="B1302" s="3" t="s">
        <v>1798</v>
      </c>
      <c r="C1302" s="3" t="s">
        <v>1814</v>
      </c>
      <c r="D1302" s="3">
        <v>30</v>
      </c>
      <c r="E1302" s="4" t="s">
        <v>1804</v>
      </c>
      <c r="F1302" s="5">
        <v>20</v>
      </c>
      <c r="G1302" s="3">
        <v>30</v>
      </c>
      <c r="I1302" s="7"/>
      <c r="J1302" s="8"/>
      <c r="K1302" s="9"/>
    </row>
    <row r="1303" spans="1:11" x14ac:dyDescent="0.25">
      <c r="A1303" t="str">
        <f>"55111026281"</f>
        <v>55111026281</v>
      </c>
      <c r="B1303" t="s">
        <v>1798</v>
      </c>
      <c r="C1303" t="s">
        <v>1815</v>
      </c>
      <c r="D1303">
        <v>30</v>
      </c>
      <c r="E1303" s="10" t="s">
        <v>1804</v>
      </c>
      <c r="F1303" s="11">
        <v>5</v>
      </c>
      <c r="G1303">
        <v>30</v>
      </c>
      <c r="I1303" s="12"/>
      <c r="J1303" s="8"/>
      <c r="K1303" s="13"/>
    </row>
    <row r="1304" spans="1:11" x14ac:dyDescent="0.25">
      <c r="A1304" s="3" t="str">
        <f>"59746030632"</f>
        <v>59746030632</v>
      </c>
      <c r="B1304" s="3" t="s">
        <v>1798</v>
      </c>
      <c r="C1304" s="3" t="s">
        <v>1817</v>
      </c>
      <c r="D1304" s="3">
        <v>30</v>
      </c>
      <c r="E1304" s="4" t="s">
        <v>1804</v>
      </c>
      <c r="F1304" s="5">
        <v>5</v>
      </c>
      <c r="G1304" s="3">
        <v>30</v>
      </c>
      <c r="I1304" s="7"/>
      <c r="J1304" s="8"/>
      <c r="K1304" s="9"/>
    </row>
    <row r="1305" spans="1:11" x14ac:dyDescent="0.25">
      <c r="A1305" t="str">
        <f>"68084072301"</f>
        <v>68084072301</v>
      </c>
      <c r="B1305" t="s">
        <v>1798</v>
      </c>
      <c r="C1305" t="s">
        <v>1818</v>
      </c>
      <c r="D1305">
        <v>100</v>
      </c>
      <c r="E1305" s="10" t="s">
        <v>11</v>
      </c>
      <c r="F1305" s="11">
        <v>5</v>
      </c>
      <c r="G1305">
        <v>100</v>
      </c>
      <c r="I1305" s="12"/>
      <c r="J1305" s="8"/>
      <c r="K1305" s="13"/>
    </row>
    <row r="1306" spans="1:11" x14ac:dyDescent="0.25">
      <c r="A1306" s="3" t="str">
        <f>"00093576810"</f>
        <v>00093576810</v>
      </c>
      <c r="B1306" s="3" t="s">
        <v>1798</v>
      </c>
      <c r="C1306" s="3" t="s">
        <v>1819</v>
      </c>
      <c r="D1306" s="3">
        <v>1000</v>
      </c>
      <c r="E1306" s="4" t="s">
        <v>11</v>
      </c>
      <c r="F1306" s="5">
        <v>5</v>
      </c>
      <c r="G1306" s="3">
        <v>1000</v>
      </c>
      <c r="I1306" s="7"/>
      <c r="J1306" s="8"/>
      <c r="K1306" s="9"/>
    </row>
    <row r="1307" spans="1:11" x14ac:dyDescent="0.25">
      <c r="A1307" t="str">
        <f>"00093576856"</f>
        <v>00093576856</v>
      </c>
      <c r="B1307" t="s">
        <v>1798</v>
      </c>
      <c r="C1307" t="s">
        <v>1820</v>
      </c>
      <c r="D1307">
        <v>30</v>
      </c>
      <c r="E1307" s="10" t="s">
        <v>11</v>
      </c>
      <c r="F1307" s="11">
        <v>5</v>
      </c>
      <c r="G1307">
        <v>30</v>
      </c>
      <c r="I1307" s="12"/>
      <c r="J1307" s="8"/>
      <c r="K1307" s="13"/>
    </row>
    <row r="1308" spans="1:11" x14ac:dyDescent="0.25">
      <c r="A1308" s="3" t="str">
        <f>"00093576956"</f>
        <v>00093576956</v>
      </c>
      <c r="B1308" s="3" t="s">
        <v>1798</v>
      </c>
      <c r="C1308" s="3" t="s">
        <v>1821</v>
      </c>
      <c r="D1308" s="3">
        <v>30</v>
      </c>
      <c r="E1308" s="4" t="s">
        <v>11</v>
      </c>
      <c r="F1308" s="5">
        <v>7.5</v>
      </c>
      <c r="G1308" s="3">
        <v>30</v>
      </c>
      <c r="I1308" s="7"/>
      <c r="J1308" s="8"/>
      <c r="K1308" s="9"/>
    </row>
    <row r="1309" spans="1:11" x14ac:dyDescent="0.25">
      <c r="A1309" t="str">
        <f>"66993068938"</f>
        <v>66993068938</v>
      </c>
      <c r="B1309" t="s">
        <v>1798</v>
      </c>
      <c r="C1309" t="s">
        <v>1822</v>
      </c>
      <c r="D1309">
        <v>30</v>
      </c>
      <c r="E1309" s="10" t="s">
        <v>11</v>
      </c>
      <c r="F1309" s="11">
        <v>20</v>
      </c>
      <c r="G1309">
        <v>30</v>
      </c>
      <c r="I1309" s="12"/>
      <c r="J1309" s="8"/>
      <c r="K1309" s="13"/>
    </row>
    <row r="1310" spans="1:11" x14ac:dyDescent="0.25">
      <c r="A1310" s="3" t="str">
        <f>"65862075705"</f>
        <v>65862075705</v>
      </c>
      <c r="B1310" s="3" t="s">
        <v>1823</v>
      </c>
      <c r="C1310" s="3" t="s">
        <v>1824</v>
      </c>
      <c r="D1310" s="3">
        <v>5</v>
      </c>
      <c r="E1310" s="4" t="s">
        <v>43</v>
      </c>
      <c r="F1310" s="5">
        <v>0.1</v>
      </c>
      <c r="G1310" s="3">
        <v>5</v>
      </c>
      <c r="I1310" s="7"/>
      <c r="J1310" s="8"/>
      <c r="K1310" s="9"/>
    </row>
    <row r="1311" spans="1:11" x14ac:dyDescent="0.25">
      <c r="A1311" t="str">
        <f>"70069000701"</f>
        <v>70069000701</v>
      </c>
      <c r="B1311" t="s">
        <v>1823</v>
      </c>
      <c r="C1311" t="s">
        <v>1824</v>
      </c>
      <c r="D1311">
        <v>5</v>
      </c>
      <c r="E1311" s="10" t="s">
        <v>43</v>
      </c>
      <c r="F1311" s="11">
        <v>0.1</v>
      </c>
      <c r="G1311">
        <v>5</v>
      </c>
      <c r="I1311" s="12"/>
      <c r="J1311" s="8"/>
      <c r="K1311" s="13"/>
    </row>
    <row r="1312" spans="1:11" x14ac:dyDescent="0.25">
      <c r="A1312" s="3" t="str">
        <f>"61314032001"</f>
        <v>61314032001</v>
      </c>
      <c r="B1312" s="3" t="s">
        <v>1823</v>
      </c>
      <c r="C1312" s="3" t="s">
        <v>1825</v>
      </c>
      <c r="D1312" s="3">
        <v>30.5</v>
      </c>
      <c r="E1312" s="4" t="s">
        <v>1826</v>
      </c>
      <c r="F1312" s="5" t="s">
        <v>1827</v>
      </c>
      <c r="G1312" s="3">
        <v>30.5</v>
      </c>
      <c r="I1312" s="7"/>
      <c r="J1312" s="8"/>
      <c r="K1312" s="9"/>
    </row>
    <row r="1313" spans="1:11" x14ac:dyDescent="0.25">
      <c r="A1313" t="str">
        <f>"47469004040"</f>
        <v>47469004040</v>
      </c>
      <c r="B1313" t="s">
        <v>1828</v>
      </c>
      <c r="C1313" t="s">
        <v>1829</v>
      </c>
      <c r="D1313">
        <v>150</v>
      </c>
      <c r="G1313">
        <v>150</v>
      </c>
      <c r="I1313" s="12"/>
      <c r="J1313" s="8"/>
      <c r="K1313" s="13"/>
    </row>
    <row r="1314" spans="1:11" x14ac:dyDescent="0.25">
      <c r="A1314" s="3" t="str">
        <f>"65162003416"</f>
        <v>65162003416</v>
      </c>
      <c r="B1314" s="3" t="s">
        <v>1470</v>
      </c>
      <c r="C1314" s="3" t="s">
        <v>1830</v>
      </c>
      <c r="D1314" s="3">
        <v>120</v>
      </c>
      <c r="E1314" s="4" t="s">
        <v>48</v>
      </c>
      <c r="F1314" s="5">
        <v>1</v>
      </c>
      <c r="G1314" s="3">
        <v>120</v>
      </c>
      <c r="I1314" s="7"/>
      <c r="J1314" s="8"/>
      <c r="K1314" s="9"/>
    </row>
    <row r="1315" spans="1:11" x14ac:dyDescent="0.25">
      <c r="A1315" t="str">
        <f>"68462039610"</f>
        <v>68462039610</v>
      </c>
      <c r="B1315" t="s">
        <v>1831</v>
      </c>
      <c r="C1315" t="s">
        <v>1832</v>
      </c>
      <c r="D1315">
        <v>1000</v>
      </c>
      <c r="E1315" s="10" t="s">
        <v>648</v>
      </c>
      <c r="F1315" s="11">
        <v>20</v>
      </c>
      <c r="G1315">
        <v>1000</v>
      </c>
      <c r="I1315" s="12"/>
      <c r="J1315" s="8"/>
      <c r="K1315" s="13"/>
    </row>
    <row r="1316" spans="1:11" x14ac:dyDescent="0.25">
      <c r="A1316" s="3" t="str">
        <f>"68462023101"</f>
        <v>68462023101</v>
      </c>
      <c r="B1316" s="3" t="s">
        <v>1831</v>
      </c>
      <c r="C1316" s="3" t="s">
        <v>1833</v>
      </c>
      <c r="D1316" s="3">
        <v>100</v>
      </c>
      <c r="E1316" s="4" t="s">
        <v>648</v>
      </c>
      <c r="F1316" s="5">
        <v>20</v>
      </c>
      <c r="G1316" s="3">
        <v>100</v>
      </c>
      <c r="I1316" s="7"/>
      <c r="J1316" s="8"/>
      <c r="K1316" s="9"/>
    </row>
    <row r="1317" spans="1:11" x14ac:dyDescent="0.25">
      <c r="A1317" t="str">
        <f>"51079052420"</f>
        <v>51079052420</v>
      </c>
      <c r="B1317" t="s">
        <v>1834</v>
      </c>
      <c r="C1317" t="s">
        <v>1835</v>
      </c>
      <c r="D1317">
        <v>100</v>
      </c>
      <c r="E1317" s="10" t="s">
        <v>11</v>
      </c>
      <c r="F1317" s="11">
        <v>4</v>
      </c>
      <c r="G1317">
        <v>100</v>
      </c>
      <c r="I1317" s="12"/>
      <c r="J1317" s="8"/>
      <c r="K1317" s="13"/>
    </row>
    <row r="1318" spans="1:11" x14ac:dyDescent="0.25">
      <c r="A1318" s="3" t="str">
        <f>"45963053830"</f>
        <v>45963053830</v>
      </c>
      <c r="B1318" s="3" t="s">
        <v>1834</v>
      </c>
      <c r="C1318" s="3" t="s">
        <v>1836</v>
      </c>
      <c r="D1318" s="3">
        <v>30</v>
      </c>
      <c r="E1318" s="4" t="s">
        <v>11</v>
      </c>
      <c r="F1318" s="5">
        <v>4</v>
      </c>
      <c r="G1318" s="3">
        <v>30</v>
      </c>
      <c r="I1318" s="7"/>
      <c r="J1318" s="8"/>
      <c r="K1318" s="9"/>
    </row>
    <row r="1319" spans="1:11" x14ac:dyDescent="0.25">
      <c r="A1319" t="str">
        <f>"51079052520"</f>
        <v>51079052520</v>
      </c>
      <c r="B1319" t="s">
        <v>1834</v>
      </c>
      <c r="C1319" t="s">
        <v>1837</v>
      </c>
      <c r="D1319">
        <v>100</v>
      </c>
      <c r="E1319" s="10" t="s">
        <v>11</v>
      </c>
      <c r="F1319" s="11">
        <v>8</v>
      </c>
      <c r="G1319">
        <v>100</v>
      </c>
      <c r="I1319" s="12"/>
      <c r="J1319" s="8"/>
      <c r="K1319" s="13"/>
    </row>
    <row r="1320" spans="1:11" x14ac:dyDescent="0.25">
      <c r="A1320" s="3" t="str">
        <f>"00378773293"</f>
        <v>00378773293</v>
      </c>
      <c r="B1320" s="3" t="s">
        <v>1838</v>
      </c>
      <c r="C1320" s="3" t="s">
        <v>1839</v>
      </c>
      <c r="D1320" s="3">
        <v>30</v>
      </c>
      <c r="E1320" s="4" t="s">
        <v>1840</v>
      </c>
      <c r="F1320" s="5" t="s">
        <v>1841</v>
      </c>
      <c r="G1320" s="3">
        <v>30</v>
      </c>
      <c r="I1320" s="7"/>
      <c r="J1320" s="8"/>
      <c r="K1320" s="9"/>
    </row>
    <row r="1321" spans="1:11" x14ac:dyDescent="0.25">
      <c r="A1321" t="str">
        <f>"67386031401"</f>
        <v>67386031401</v>
      </c>
      <c r="B1321" t="s">
        <v>1842</v>
      </c>
      <c r="C1321" t="s">
        <v>1843</v>
      </c>
      <c r="D1321">
        <v>100</v>
      </c>
      <c r="E1321" s="10" t="s">
        <v>11</v>
      </c>
      <c r="F1321" s="11">
        <v>10</v>
      </c>
      <c r="G1321">
        <v>100</v>
      </c>
      <c r="I1321" s="12"/>
      <c r="J1321" s="8"/>
      <c r="K1321" s="13"/>
    </row>
    <row r="1322" spans="1:11" x14ac:dyDescent="0.25">
      <c r="A1322" s="3"/>
      <c r="B1322" s="3" t="s">
        <v>1844</v>
      </c>
      <c r="C1322" s="3" t="s">
        <v>1844</v>
      </c>
      <c r="D1322" s="3">
        <v>0.25</v>
      </c>
      <c r="E1322" s="4"/>
      <c r="F1322" s="5"/>
      <c r="G1322" s="3">
        <v>0</v>
      </c>
      <c r="I1322" s="7"/>
      <c r="J1322" s="8"/>
      <c r="K1322" s="9"/>
    </row>
    <row r="1323" spans="1:11" x14ac:dyDescent="0.25">
      <c r="B1323" t="s">
        <v>1844</v>
      </c>
      <c r="C1323" t="s">
        <v>1844</v>
      </c>
      <c r="I1323" s="12"/>
      <c r="J1323" s="8"/>
      <c r="K1323" s="13"/>
    </row>
    <row r="1324" spans="1:11" x14ac:dyDescent="0.25">
      <c r="A1324" s="3"/>
      <c r="B1324" s="3" t="s">
        <v>1844</v>
      </c>
      <c r="C1324" s="3" t="s">
        <v>1844</v>
      </c>
      <c r="D1324" s="3"/>
      <c r="E1324" s="4"/>
      <c r="F1324" s="5"/>
      <c r="G1324" s="3"/>
      <c r="I1324" s="7"/>
      <c r="J1324" s="8"/>
      <c r="K1324" s="9"/>
    </row>
    <row r="1325" spans="1:11" x14ac:dyDescent="0.25">
      <c r="B1325" t="s">
        <v>1844</v>
      </c>
      <c r="C1325" t="s">
        <v>1844</v>
      </c>
      <c r="I1325" s="12"/>
      <c r="J1325" s="8"/>
      <c r="K1325" s="13"/>
    </row>
    <row r="1326" spans="1:11" x14ac:dyDescent="0.25">
      <c r="A1326" s="3"/>
      <c r="B1326" s="3" t="s">
        <v>1844</v>
      </c>
      <c r="C1326" s="3" t="s">
        <v>1844</v>
      </c>
      <c r="D1326" s="3"/>
      <c r="E1326" s="4"/>
      <c r="F1326" s="5"/>
      <c r="G1326" s="3"/>
      <c r="I1326" s="7"/>
      <c r="J1326" s="8"/>
      <c r="K1326" s="9"/>
    </row>
    <row r="1327" spans="1:11" x14ac:dyDescent="0.25">
      <c r="B1327" t="s">
        <v>1844</v>
      </c>
      <c r="C1327" t="s">
        <v>1844</v>
      </c>
      <c r="I1327" s="12"/>
      <c r="J1327" s="8"/>
      <c r="K1327" s="13"/>
    </row>
    <row r="1328" spans="1:11" x14ac:dyDescent="0.25">
      <c r="A1328" s="3"/>
      <c r="B1328" s="3" t="s">
        <v>1844</v>
      </c>
      <c r="C1328" s="3" t="s">
        <v>1844</v>
      </c>
      <c r="D1328" s="3"/>
      <c r="E1328" s="4"/>
      <c r="F1328" s="5"/>
      <c r="G1328" s="3"/>
      <c r="I1328" s="7"/>
      <c r="J1328" s="8"/>
      <c r="K1328" s="9"/>
    </row>
    <row r="1329" spans="1:11" x14ac:dyDescent="0.25">
      <c r="B1329" t="s">
        <v>1844</v>
      </c>
      <c r="C1329" t="s">
        <v>1844</v>
      </c>
      <c r="I1329" s="12"/>
      <c r="J1329" s="8"/>
      <c r="K1329" s="13"/>
    </row>
    <row r="1330" spans="1:11" x14ac:dyDescent="0.25">
      <c r="A1330" s="3"/>
      <c r="B1330" s="3" t="s">
        <v>1844</v>
      </c>
      <c r="C1330" s="3" t="s">
        <v>1844</v>
      </c>
      <c r="D1330" s="3"/>
      <c r="E1330" s="4"/>
      <c r="F1330" s="5"/>
      <c r="G1330" s="3"/>
      <c r="I1330" s="7"/>
      <c r="J1330" s="8"/>
      <c r="K1330" s="9"/>
    </row>
    <row r="1331" spans="1:11" x14ac:dyDescent="0.25">
      <c r="B1331" t="s">
        <v>1844</v>
      </c>
      <c r="C1331" t="s">
        <v>1844</v>
      </c>
      <c r="I1331" s="12"/>
      <c r="J1331" s="8"/>
      <c r="K1331" s="13"/>
    </row>
    <row r="1332" spans="1:11" x14ac:dyDescent="0.25">
      <c r="A1332" s="3"/>
      <c r="B1332" s="3" t="s">
        <v>1844</v>
      </c>
      <c r="C1332" s="3" t="s">
        <v>1844</v>
      </c>
      <c r="D1332" s="3"/>
      <c r="E1332" s="4"/>
      <c r="F1332" s="5"/>
      <c r="G1332" s="3"/>
      <c r="I1332" s="7"/>
      <c r="J1332" s="8"/>
      <c r="K1332" s="9"/>
    </row>
    <row r="1333" spans="1:11" x14ac:dyDescent="0.25">
      <c r="B1333" t="s">
        <v>1844</v>
      </c>
      <c r="C1333" t="s">
        <v>1844</v>
      </c>
      <c r="I1333" s="12"/>
      <c r="J1333" s="8"/>
      <c r="K1333" s="13"/>
    </row>
    <row r="1334" spans="1:11" x14ac:dyDescent="0.25">
      <c r="A1334" s="3"/>
      <c r="B1334" s="3" t="s">
        <v>1844</v>
      </c>
      <c r="C1334" s="3" t="s">
        <v>1844</v>
      </c>
      <c r="D1334" s="3"/>
      <c r="E1334" s="4"/>
      <c r="F1334" s="5"/>
      <c r="G1334" s="3"/>
      <c r="I1334" s="7"/>
      <c r="J1334" s="8"/>
      <c r="K1334" s="9"/>
    </row>
    <row r="1335" spans="1:11" x14ac:dyDescent="0.25">
      <c r="B1335" t="s">
        <v>1844</v>
      </c>
      <c r="C1335" t="s">
        <v>1844</v>
      </c>
      <c r="I1335" s="12"/>
      <c r="J1335" s="8"/>
      <c r="K1335" s="13"/>
    </row>
    <row r="1336" spans="1:11" x14ac:dyDescent="0.25">
      <c r="A1336" s="3" t="str">
        <f>"00185002201"</f>
        <v>00185002201</v>
      </c>
      <c r="B1336" s="3" t="s">
        <v>1845</v>
      </c>
      <c r="C1336" s="3" t="s">
        <v>1846</v>
      </c>
      <c r="D1336" s="3">
        <v>100</v>
      </c>
      <c r="E1336" s="4" t="s">
        <v>33</v>
      </c>
      <c r="F1336" s="5">
        <v>100</v>
      </c>
      <c r="G1336" s="3">
        <v>100</v>
      </c>
      <c r="I1336" s="7"/>
      <c r="J1336" s="8"/>
      <c r="K1336" s="9"/>
    </row>
    <row r="1337" spans="1:11" x14ac:dyDescent="0.25">
      <c r="A1337" t="str">
        <f>"47781047013"</f>
        <v>47781047013</v>
      </c>
      <c r="B1337" t="s">
        <v>1847</v>
      </c>
      <c r="C1337" t="s">
        <v>1848</v>
      </c>
      <c r="D1337">
        <v>10</v>
      </c>
      <c r="E1337" s="10" t="s">
        <v>11</v>
      </c>
      <c r="F1337" s="11">
        <v>75</v>
      </c>
      <c r="G1337">
        <v>10</v>
      </c>
      <c r="I1337" s="12"/>
      <c r="J1337" s="8"/>
      <c r="K1337" s="13"/>
    </row>
    <row r="1338" spans="1:11" x14ac:dyDescent="0.25">
      <c r="A1338" s="3" t="str">
        <f>"30768003578"</f>
        <v>30768003578</v>
      </c>
      <c r="B1338" s="3" t="s">
        <v>1849</v>
      </c>
      <c r="C1338" s="3" t="s">
        <v>1850</v>
      </c>
      <c r="D1338" s="3">
        <v>120</v>
      </c>
      <c r="E1338" s="4"/>
      <c r="F1338" s="5"/>
      <c r="G1338" s="3">
        <v>120</v>
      </c>
      <c r="I1338" s="7"/>
      <c r="J1338" s="8"/>
      <c r="K1338" s="9"/>
    </row>
    <row r="1339" spans="1:11" x14ac:dyDescent="0.25">
      <c r="A1339" t="str">
        <f>"59572063106"</f>
        <v>59572063106</v>
      </c>
      <c r="B1339" t="s">
        <v>1851</v>
      </c>
      <c r="C1339" t="s">
        <v>1852</v>
      </c>
      <c r="D1339">
        <v>60</v>
      </c>
      <c r="E1339" s="10" t="s">
        <v>11</v>
      </c>
      <c r="F1339" s="11">
        <v>30</v>
      </c>
      <c r="G1339">
        <v>60</v>
      </c>
      <c r="I1339" s="12"/>
      <c r="J1339" s="8"/>
      <c r="K1339" s="13"/>
    </row>
    <row r="1340" spans="1:11" x14ac:dyDescent="0.25">
      <c r="A1340" s="3" t="str">
        <f>"55150012715"</f>
        <v>55150012715</v>
      </c>
      <c r="B1340" s="3" t="s">
        <v>1853</v>
      </c>
      <c r="C1340" s="3" t="s">
        <v>1854</v>
      </c>
      <c r="D1340" s="3">
        <v>10</v>
      </c>
      <c r="E1340" s="4" t="s">
        <v>48</v>
      </c>
      <c r="F1340" s="5">
        <v>1</v>
      </c>
      <c r="G1340" s="3">
        <v>1</v>
      </c>
      <c r="I1340" s="7"/>
      <c r="J1340" s="8"/>
      <c r="K1340" s="9"/>
    </row>
    <row r="1341" spans="1:11" x14ac:dyDescent="0.25">
      <c r="A1341" t="str">
        <f>"55150012999"</f>
        <v>55150012999</v>
      </c>
      <c r="B1341" t="s">
        <v>1853</v>
      </c>
      <c r="C1341" t="s">
        <v>1855</v>
      </c>
      <c r="D1341">
        <v>0</v>
      </c>
      <c r="E1341" s="10" t="s">
        <v>48</v>
      </c>
      <c r="F1341" s="11">
        <v>10</v>
      </c>
      <c r="G1341">
        <v>1</v>
      </c>
      <c r="I1341" s="12"/>
      <c r="J1341" s="8"/>
      <c r="K1341" s="13"/>
    </row>
    <row r="1342" spans="1:11" x14ac:dyDescent="0.25">
      <c r="A1342" s="3" t="str">
        <f>"55150012824"</f>
        <v>55150012824</v>
      </c>
      <c r="B1342" s="3" t="s">
        <v>1853</v>
      </c>
      <c r="C1342" s="3" t="s">
        <v>1856</v>
      </c>
      <c r="D1342" s="3">
        <v>10</v>
      </c>
      <c r="E1342" s="4" t="s">
        <v>48</v>
      </c>
      <c r="F1342" s="5">
        <v>2</v>
      </c>
      <c r="G1342" s="3">
        <v>1</v>
      </c>
      <c r="I1342" s="7"/>
      <c r="J1342" s="8"/>
      <c r="K1342" s="9"/>
    </row>
    <row r="1343" spans="1:11" x14ac:dyDescent="0.25">
      <c r="A1343" t="str">
        <f>"68462013701"</f>
        <v>68462013701</v>
      </c>
      <c r="B1343" t="s">
        <v>1857</v>
      </c>
      <c r="C1343" t="s">
        <v>1858</v>
      </c>
      <c r="D1343">
        <v>100</v>
      </c>
      <c r="E1343" s="10" t="s">
        <v>11</v>
      </c>
      <c r="F1343" s="11">
        <v>150</v>
      </c>
      <c r="G1343">
        <v>100</v>
      </c>
      <c r="I1343" s="12"/>
      <c r="J1343" s="8"/>
      <c r="K1343" s="13"/>
    </row>
    <row r="1344" spans="1:11" x14ac:dyDescent="0.25">
      <c r="A1344" s="3" t="str">
        <f>"68462013801"</f>
        <v>68462013801</v>
      </c>
      <c r="B1344" s="3" t="s">
        <v>1857</v>
      </c>
      <c r="C1344" s="3" t="s">
        <v>1859</v>
      </c>
      <c r="D1344" s="3">
        <v>100</v>
      </c>
      <c r="E1344" s="4" t="s">
        <v>11</v>
      </c>
      <c r="F1344" s="5">
        <v>300</v>
      </c>
      <c r="G1344" s="3">
        <v>100</v>
      </c>
      <c r="I1344" s="7"/>
      <c r="J1344" s="8"/>
      <c r="K1344" s="9"/>
    </row>
    <row r="1345" spans="1:11" x14ac:dyDescent="0.25">
      <c r="A1345" t="str">
        <f>"68084085301"</f>
        <v>68084085301</v>
      </c>
      <c r="B1345" t="s">
        <v>1857</v>
      </c>
      <c r="C1345" t="s">
        <v>1860</v>
      </c>
      <c r="D1345">
        <v>100</v>
      </c>
      <c r="E1345" s="10" t="s">
        <v>11</v>
      </c>
      <c r="F1345" s="11">
        <v>300</v>
      </c>
      <c r="G1345">
        <v>100</v>
      </c>
      <c r="I1345" s="12"/>
      <c r="J1345" s="8"/>
      <c r="K1345" s="13"/>
    </row>
    <row r="1346" spans="1:11" x14ac:dyDescent="0.25">
      <c r="A1346" s="3" t="str">
        <f>"68462013901"</f>
        <v>68462013901</v>
      </c>
      <c r="B1346" s="3" t="s">
        <v>1857</v>
      </c>
      <c r="C1346" s="3" t="s">
        <v>1861</v>
      </c>
      <c r="D1346" s="3">
        <v>100</v>
      </c>
      <c r="E1346" s="4" t="s">
        <v>11</v>
      </c>
      <c r="F1346" s="5">
        <v>600</v>
      </c>
      <c r="G1346" s="3">
        <v>100</v>
      </c>
      <c r="I1346" s="7"/>
      <c r="J1346" s="8"/>
      <c r="K1346" s="9"/>
    </row>
    <row r="1347" spans="1:11" x14ac:dyDescent="0.25">
      <c r="A1347" t="str">
        <f>"00603497521"</f>
        <v>00603497521</v>
      </c>
      <c r="B1347" t="s">
        <v>1862</v>
      </c>
      <c r="C1347" t="s">
        <v>1863</v>
      </c>
      <c r="D1347">
        <v>100</v>
      </c>
      <c r="E1347" s="10" t="s">
        <v>11</v>
      </c>
      <c r="F1347" s="11">
        <v>5</v>
      </c>
      <c r="G1347">
        <v>100</v>
      </c>
      <c r="I1347" s="12"/>
      <c r="J1347" s="8"/>
      <c r="K1347" s="13"/>
    </row>
    <row r="1348" spans="1:11" x14ac:dyDescent="0.25">
      <c r="A1348" s="3" t="str">
        <f>"68084040001"</f>
        <v>68084040001</v>
      </c>
      <c r="B1348" s="3" t="s">
        <v>1862</v>
      </c>
      <c r="C1348" s="3" t="s">
        <v>1864</v>
      </c>
      <c r="D1348" s="3">
        <v>100</v>
      </c>
      <c r="E1348" s="4" t="s">
        <v>11</v>
      </c>
      <c r="F1348" s="5">
        <v>5</v>
      </c>
      <c r="G1348" s="3">
        <v>100</v>
      </c>
      <c r="I1348" s="7"/>
      <c r="J1348" s="8"/>
      <c r="K1348" s="9"/>
    </row>
    <row r="1349" spans="1:11" x14ac:dyDescent="0.25">
      <c r="A1349" t="str">
        <f>"00603497528"</f>
        <v>00603497528</v>
      </c>
      <c r="B1349" t="s">
        <v>1862</v>
      </c>
      <c r="C1349" t="s">
        <v>1865</v>
      </c>
      <c r="D1349">
        <v>500</v>
      </c>
      <c r="E1349" s="10" t="s">
        <v>11</v>
      </c>
      <c r="F1349" s="11">
        <v>5</v>
      </c>
      <c r="G1349">
        <v>500</v>
      </c>
      <c r="I1349" s="12"/>
      <c r="J1349" s="8"/>
      <c r="K1349" s="13"/>
    </row>
    <row r="1350" spans="1:11" x14ac:dyDescent="0.25">
      <c r="A1350" s="3" t="str">
        <f>"00603497520"</f>
        <v>00603497520</v>
      </c>
      <c r="B1350" s="3" t="s">
        <v>1862</v>
      </c>
      <c r="C1350" s="3" t="s">
        <v>1866</v>
      </c>
      <c r="D1350" s="3">
        <v>60</v>
      </c>
      <c r="E1350" s="4" t="s">
        <v>11</v>
      </c>
      <c r="F1350" s="5">
        <v>5</v>
      </c>
      <c r="G1350" s="3">
        <v>60</v>
      </c>
      <c r="I1350" s="7"/>
      <c r="J1350" s="8"/>
      <c r="K1350" s="9"/>
    </row>
    <row r="1351" spans="1:11" x14ac:dyDescent="0.25">
      <c r="A1351" t="str">
        <f>"00406055262"</f>
        <v>00406055262</v>
      </c>
      <c r="B1351" t="s">
        <v>1867</v>
      </c>
      <c r="C1351" t="s">
        <v>1868</v>
      </c>
      <c r="D1351">
        <v>100</v>
      </c>
      <c r="E1351" s="10" t="s">
        <v>11</v>
      </c>
      <c r="F1351" s="11">
        <v>5</v>
      </c>
      <c r="G1351">
        <v>100</v>
      </c>
      <c r="I1351" s="12"/>
      <c r="J1351" s="8"/>
      <c r="K1351" s="13"/>
    </row>
    <row r="1352" spans="1:11" x14ac:dyDescent="0.25">
      <c r="A1352" s="3" t="str">
        <f>"68084035401"</f>
        <v>68084035401</v>
      </c>
      <c r="B1352" s="3" t="s">
        <v>1867</v>
      </c>
      <c r="C1352" s="3" t="s">
        <v>1869</v>
      </c>
      <c r="D1352" s="3">
        <v>100</v>
      </c>
      <c r="E1352" s="4" t="s">
        <v>11</v>
      </c>
      <c r="F1352" s="5">
        <v>5</v>
      </c>
      <c r="G1352" s="3">
        <v>100</v>
      </c>
      <c r="I1352" s="7"/>
      <c r="J1352" s="8"/>
      <c r="K1352" s="9"/>
    </row>
    <row r="1353" spans="1:11" x14ac:dyDescent="0.25">
      <c r="A1353" t="str">
        <f>"00406051262"</f>
        <v>00406051262</v>
      </c>
      <c r="B1353" t="s">
        <v>1870</v>
      </c>
      <c r="C1353" t="s">
        <v>1871</v>
      </c>
      <c r="D1353">
        <v>100</v>
      </c>
      <c r="E1353" s="10" t="s">
        <v>1872</v>
      </c>
      <c r="F1353" s="11" t="s">
        <v>1170</v>
      </c>
      <c r="G1353">
        <v>100</v>
      </c>
      <c r="I1353" s="12"/>
      <c r="J1353" s="8"/>
      <c r="K1353" s="13"/>
    </row>
    <row r="1354" spans="1:11" x14ac:dyDescent="0.25">
      <c r="A1354" s="3" t="str">
        <f>"59011041020"</f>
        <v>59011041020</v>
      </c>
      <c r="B1354" s="3" t="s">
        <v>1867</v>
      </c>
      <c r="C1354" s="3" t="s">
        <v>1873</v>
      </c>
      <c r="D1354" s="3">
        <v>20</v>
      </c>
      <c r="E1354" s="4" t="s">
        <v>11</v>
      </c>
      <c r="F1354" s="5">
        <v>10</v>
      </c>
      <c r="G1354" s="3">
        <v>20</v>
      </c>
      <c r="I1354" s="7"/>
      <c r="J1354" s="8"/>
      <c r="K1354" s="9"/>
    </row>
    <row r="1355" spans="1:11" x14ac:dyDescent="0.25">
      <c r="A1355" t="str">
        <f>"59011042020"</f>
        <v>59011042020</v>
      </c>
      <c r="B1355" t="s">
        <v>1867</v>
      </c>
      <c r="C1355" t="s">
        <v>1874</v>
      </c>
      <c r="D1355">
        <v>20</v>
      </c>
      <c r="E1355" s="10" t="s">
        <v>11</v>
      </c>
      <c r="F1355" s="11">
        <v>20</v>
      </c>
      <c r="G1355">
        <v>20</v>
      </c>
      <c r="I1355" s="12"/>
      <c r="J1355" s="8"/>
      <c r="K1355" s="13"/>
    </row>
    <row r="1356" spans="1:11" x14ac:dyDescent="0.25">
      <c r="A1356" s="3" t="str">
        <f>"59011044020"</f>
        <v>59011044020</v>
      </c>
      <c r="B1356" s="3" t="s">
        <v>1867</v>
      </c>
      <c r="C1356" s="3" t="s">
        <v>1875</v>
      </c>
      <c r="D1356" s="3">
        <v>20</v>
      </c>
      <c r="E1356" s="4" t="s">
        <v>11</v>
      </c>
      <c r="F1356" s="5">
        <v>40</v>
      </c>
      <c r="G1356" s="3">
        <v>20</v>
      </c>
      <c r="I1356" s="7"/>
      <c r="J1356" s="8"/>
      <c r="K1356" s="9"/>
    </row>
    <row r="1357" spans="1:11" x14ac:dyDescent="0.25">
      <c r="A1357" t="str">
        <f>"45802041059"</f>
        <v>45802041059</v>
      </c>
      <c r="B1357" t="s">
        <v>1876</v>
      </c>
      <c r="C1357" t="s">
        <v>1877</v>
      </c>
      <c r="D1357">
        <v>1</v>
      </c>
      <c r="E1357" s="10" t="s">
        <v>43</v>
      </c>
      <c r="F1357" s="11">
        <v>0.05</v>
      </c>
      <c r="G1357">
        <v>30</v>
      </c>
      <c r="I1357" s="12"/>
      <c r="J1357" s="8"/>
      <c r="K1357" s="13"/>
    </row>
    <row r="1358" spans="1:11" x14ac:dyDescent="0.25">
      <c r="A1358" s="3" t="str">
        <f>"00591369230"</f>
        <v>00591369230</v>
      </c>
      <c r="B1358" s="3" t="s">
        <v>1236</v>
      </c>
      <c r="C1358" s="3" t="s">
        <v>1878</v>
      </c>
      <c r="D1358" s="3">
        <v>30</v>
      </c>
      <c r="E1358" s="4" t="s">
        <v>11</v>
      </c>
      <c r="F1358" s="5">
        <v>1.5</v>
      </c>
      <c r="G1358" s="3">
        <v>30</v>
      </c>
      <c r="I1358" s="7"/>
      <c r="J1358" s="8"/>
      <c r="K1358" s="9"/>
    </row>
    <row r="1359" spans="1:11" x14ac:dyDescent="0.25">
      <c r="A1359" t="str">
        <f>"10147095303"</f>
        <v>10147095303</v>
      </c>
      <c r="B1359" t="s">
        <v>1236</v>
      </c>
      <c r="C1359" t="s">
        <v>1879</v>
      </c>
      <c r="D1359">
        <v>30</v>
      </c>
      <c r="E1359" s="10" t="s">
        <v>33</v>
      </c>
      <c r="F1359" s="11">
        <v>6</v>
      </c>
      <c r="G1359">
        <v>30</v>
      </c>
      <c r="I1359" s="12"/>
      <c r="J1359" s="8"/>
      <c r="K1359" s="13"/>
    </row>
    <row r="1360" spans="1:11" x14ac:dyDescent="0.25">
      <c r="A1360" s="3" t="str">
        <f>"68084064301"</f>
        <v>68084064301</v>
      </c>
      <c r="B1360" s="3" t="s">
        <v>1880</v>
      </c>
      <c r="C1360" s="3" t="s">
        <v>1881</v>
      </c>
      <c r="D1360" s="3">
        <v>100</v>
      </c>
      <c r="E1360" s="4" t="s">
        <v>648</v>
      </c>
      <c r="F1360" s="5">
        <v>20</v>
      </c>
      <c r="G1360" s="3">
        <v>100</v>
      </c>
      <c r="I1360" s="7"/>
      <c r="J1360" s="8"/>
      <c r="K1360" s="9"/>
    </row>
    <row r="1361" spans="1:11" x14ac:dyDescent="0.25">
      <c r="A1361" t="str">
        <f>"00093001198"</f>
        <v>00093001198</v>
      </c>
      <c r="B1361" t="s">
        <v>1880</v>
      </c>
      <c r="C1361" t="s">
        <v>1882</v>
      </c>
      <c r="D1361">
        <v>90</v>
      </c>
      <c r="E1361" s="10" t="s">
        <v>11</v>
      </c>
      <c r="F1361" s="11">
        <v>20</v>
      </c>
      <c r="G1361">
        <v>90</v>
      </c>
      <c r="I1361" s="12"/>
      <c r="J1361" s="8"/>
      <c r="K1361" s="13"/>
    </row>
    <row r="1362" spans="1:11" x14ac:dyDescent="0.25">
      <c r="A1362" s="3" t="str">
        <f>"55111033290"</f>
        <v>55111033290</v>
      </c>
      <c r="B1362" s="3" t="s">
        <v>1880</v>
      </c>
      <c r="C1362" s="3" t="s">
        <v>1882</v>
      </c>
      <c r="D1362" s="3">
        <v>90</v>
      </c>
      <c r="E1362" s="4" t="s">
        <v>11</v>
      </c>
      <c r="F1362" s="5">
        <v>20</v>
      </c>
      <c r="G1362" s="3">
        <v>90</v>
      </c>
      <c r="I1362" s="7"/>
      <c r="J1362" s="8"/>
      <c r="K1362" s="9"/>
    </row>
    <row r="1363" spans="1:11" x14ac:dyDescent="0.25">
      <c r="A1363" t="str">
        <f>"51079005120"</f>
        <v>51079005120</v>
      </c>
      <c r="B1363" t="s">
        <v>1880</v>
      </c>
      <c r="C1363" t="s">
        <v>1883</v>
      </c>
      <c r="D1363">
        <v>100</v>
      </c>
      <c r="E1363" s="10" t="s">
        <v>11</v>
      </c>
      <c r="F1363" s="11">
        <v>40</v>
      </c>
      <c r="G1363">
        <v>100</v>
      </c>
      <c r="I1363" s="12"/>
      <c r="J1363" s="8"/>
      <c r="K1363" s="13"/>
    </row>
    <row r="1364" spans="1:11" x14ac:dyDescent="0.25">
      <c r="A1364" s="3" t="str">
        <f>"68084081309"</f>
        <v>68084081309</v>
      </c>
      <c r="B1364" s="3" t="s">
        <v>1880</v>
      </c>
      <c r="C1364" s="3" t="s">
        <v>1884</v>
      </c>
      <c r="D1364" s="3">
        <v>80</v>
      </c>
      <c r="E1364" s="4" t="s">
        <v>648</v>
      </c>
      <c r="F1364" s="5">
        <v>40</v>
      </c>
      <c r="G1364" s="3">
        <v>80</v>
      </c>
      <c r="I1364" s="7"/>
      <c r="J1364" s="8"/>
      <c r="K1364" s="9"/>
    </row>
    <row r="1365" spans="1:11" x14ac:dyDescent="0.25">
      <c r="A1365" t="str">
        <f>"66993006885"</f>
        <v>66993006885</v>
      </c>
      <c r="B1365" t="s">
        <v>1880</v>
      </c>
      <c r="C1365" t="s">
        <v>1885</v>
      </c>
      <c r="D1365">
        <v>90</v>
      </c>
      <c r="E1365" s="10" t="s">
        <v>11</v>
      </c>
      <c r="F1365" s="11">
        <v>40</v>
      </c>
      <c r="G1365">
        <v>90</v>
      </c>
      <c r="I1365" s="12"/>
      <c r="J1365" s="8"/>
      <c r="K1365" s="13"/>
    </row>
    <row r="1366" spans="1:11" x14ac:dyDescent="0.25">
      <c r="A1366" s="3" t="str">
        <f>"62175061743"</f>
        <v>62175061743</v>
      </c>
      <c r="B1366" s="3" t="s">
        <v>1880</v>
      </c>
      <c r="C1366" s="3" t="s">
        <v>1886</v>
      </c>
      <c r="D1366" s="3">
        <v>1000</v>
      </c>
      <c r="E1366" s="4" t="s">
        <v>648</v>
      </c>
      <c r="F1366" s="5">
        <v>40</v>
      </c>
      <c r="G1366" s="3">
        <v>1000</v>
      </c>
      <c r="I1366" s="7"/>
      <c r="J1366" s="8"/>
      <c r="K1366" s="9"/>
    </row>
    <row r="1367" spans="1:11" x14ac:dyDescent="0.25">
      <c r="A1367" t="str">
        <f>"68084004401"</f>
        <v>68084004401</v>
      </c>
      <c r="B1367" t="s">
        <v>1887</v>
      </c>
      <c r="C1367" t="s">
        <v>1888</v>
      </c>
      <c r="D1367">
        <v>100</v>
      </c>
      <c r="E1367" s="10" t="s">
        <v>11</v>
      </c>
      <c r="F1367" s="11">
        <v>10</v>
      </c>
      <c r="G1367">
        <v>100</v>
      </c>
      <c r="I1367" s="12"/>
      <c r="J1367" s="8"/>
      <c r="K1367" s="13"/>
    </row>
    <row r="1368" spans="1:11" x14ac:dyDescent="0.25">
      <c r="A1368" s="3" t="str">
        <f>"68382009705"</f>
        <v>68382009705</v>
      </c>
      <c r="B1368" s="3" t="s">
        <v>1887</v>
      </c>
      <c r="C1368" s="3" t="s">
        <v>1889</v>
      </c>
      <c r="D1368" s="3">
        <v>500</v>
      </c>
      <c r="E1368" s="4" t="s">
        <v>11</v>
      </c>
      <c r="F1368" s="5">
        <v>10</v>
      </c>
      <c r="G1368" s="3">
        <v>500</v>
      </c>
      <c r="I1368" s="7"/>
      <c r="J1368" s="8"/>
      <c r="K1368" s="9"/>
    </row>
    <row r="1369" spans="1:11" x14ac:dyDescent="0.25">
      <c r="A1369" t="str">
        <f>"68084004501"</f>
        <v>68084004501</v>
      </c>
      <c r="B1369" t="s">
        <v>1887</v>
      </c>
      <c r="C1369" t="s">
        <v>1890</v>
      </c>
      <c r="D1369">
        <v>100</v>
      </c>
      <c r="E1369" s="10" t="s">
        <v>11</v>
      </c>
      <c r="F1369" s="11">
        <v>20</v>
      </c>
      <c r="G1369">
        <v>100</v>
      </c>
      <c r="I1369" s="12"/>
      <c r="J1369" s="8"/>
      <c r="K1369" s="13"/>
    </row>
    <row r="1370" spans="1:11" x14ac:dyDescent="0.25">
      <c r="A1370" s="3" t="str">
        <f>"68382009810"</f>
        <v>68382009810</v>
      </c>
      <c r="B1370" s="3" t="s">
        <v>1887</v>
      </c>
      <c r="C1370" s="3" t="s">
        <v>1891</v>
      </c>
      <c r="D1370" s="3">
        <v>1000</v>
      </c>
      <c r="E1370" s="4" t="s">
        <v>11</v>
      </c>
      <c r="F1370" s="5">
        <v>20</v>
      </c>
      <c r="G1370" s="3">
        <v>1000</v>
      </c>
      <c r="I1370" s="7"/>
      <c r="J1370" s="8"/>
      <c r="K1370" s="9"/>
    </row>
    <row r="1371" spans="1:11" x14ac:dyDescent="0.25">
      <c r="A1371" t="str">
        <f>"68382009805"</f>
        <v>68382009805</v>
      </c>
      <c r="B1371" t="s">
        <v>1887</v>
      </c>
      <c r="C1371" t="s">
        <v>1892</v>
      </c>
      <c r="D1371">
        <v>500</v>
      </c>
      <c r="E1371" s="10" t="s">
        <v>11</v>
      </c>
      <c r="F1371" s="11">
        <v>20</v>
      </c>
      <c r="G1371">
        <v>500</v>
      </c>
      <c r="I1371" s="12"/>
      <c r="J1371" s="8"/>
      <c r="K1371" s="13"/>
    </row>
    <row r="1372" spans="1:11" x14ac:dyDescent="0.25">
      <c r="A1372" s="3" t="str">
        <f>"68382009905"</f>
        <v>68382009905</v>
      </c>
      <c r="B1372" s="3" t="s">
        <v>1887</v>
      </c>
      <c r="C1372" s="3" t="s">
        <v>1893</v>
      </c>
      <c r="D1372" s="3">
        <v>500</v>
      </c>
      <c r="E1372" s="4" t="s">
        <v>11</v>
      </c>
      <c r="F1372" s="5">
        <v>30</v>
      </c>
      <c r="G1372" s="3">
        <v>500</v>
      </c>
      <c r="I1372" s="7"/>
      <c r="J1372" s="8"/>
      <c r="K1372" s="9"/>
    </row>
    <row r="1373" spans="1:11" x14ac:dyDescent="0.25">
      <c r="A1373" t="str">
        <f>"68382000105"</f>
        <v>68382000105</v>
      </c>
      <c r="B1373" t="s">
        <v>1887</v>
      </c>
      <c r="C1373" t="s">
        <v>1894</v>
      </c>
      <c r="D1373">
        <v>500</v>
      </c>
      <c r="E1373" s="10" t="s">
        <v>11</v>
      </c>
      <c r="F1373" s="11">
        <v>40</v>
      </c>
      <c r="G1373">
        <v>500</v>
      </c>
      <c r="I1373" s="12"/>
      <c r="J1373" s="8"/>
      <c r="K1373" s="13"/>
    </row>
    <row r="1374" spans="1:11" x14ac:dyDescent="0.25">
      <c r="A1374" s="3" t="str">
        <f>"00065027225"</f>
        <v>00065027225</v>
      </c>
      <c r="B1374" s="3" t="s">
        <v>1823</v>
      </c>
      <c r="C1374" s="3" t="s">
        <v>1895</v>
      </c>
      <c r="D1374" s="3">
        <v>2.5</v>
      </c>
      <c r="E1374" s="4" t="s">
        <v>43</v>
      </c>
      <c r="F1374" s="5">
        <v>0.2</v>
      </c>
      <c r="G1374" s="3">
        <v>2.5</v>
      </c>
      <c r="I1374" s="7"/>
      <c r="J1374" s="8"/>
      <c r="K1374" s="9"/>
    </row>
    <row r="1375" spans="1:11" x14ac:dyDescent="0.25">
      <c r="A1375" t="str">
        <f>"00065027105"</f>
        <v>00065027105</v>
      </c>
      <c r="B1375" t="s">
        <v>1823</v>
      </c>
      <c r="C1375" t="s">
        <v>1896</v>
      </c>
      <c r="D1375">
        <v>5</v>
      </c>
      <c r="E1375" s="10" t="s">
        <v>43</v>
      </c>
      <c r="F1375" s="11">
        <v>0.1</v>
      </c>
      <c r="G1375">
        <v>5</v>
      </c>
      <c r="I1375" s="12"/>
      <c r="J1375" s="8"/>
      <c r="K1375" s="13"/>
    </row>
    <row r="1376" spans="1:11" x14ac:dyDescent="0.25">
      <c r="A1376" s="3" t="str">
        <f>"60505040205"</f>
        <v>60505040205</v>
      </c>
      <c r="B1376" s="3" t="s">
        <v>1887</v>
      </c>
      <c r="C1376" s="3" t="s">
        <v>1897</v>
      </c>
      <c r="D1376" s="3">
        <v>250</v>
      </c>
      <c r="E1376" s="4" t="s">
        <v>1432</v>
      </c>
      <c r="F1376" s="5" t="s">
        <v>1898</v>
      </c>
      <c r="G1376" s="3">
        <v>250</v>
      </c>
      <c r="I1376" s="7"/>
      <c r="J1376" s="8"/>
      <c r="K1376" s="9"/>
    </row>
    <row r="1377" spans="1:11" x14ac:dyDescent="0.25">
      <c r="A1377" t="str">
        <f>"62175044601"</f>
        <v>62175044601</v>
      </c>
      <c r="B1377" t="s">
        <v>1899</v>
      </c>
      <c r="C1377" t="s">
        <v>1900</v>
      </c>
      <c r="D1377">
        <v>4000</v>
      </c>
      <c r="E1377" s="10" t="s">
        <v>1901</v>
      </c>
      <c r="F1377" s="11" t="s">
        <v>1902</v>
      </c>
      <c r="G1377">
        <v>4000</v>
      </c>
      <c r="I1377" s="12"/>
      <c r="J1377" s="8"/>
      <c r="K1377" s="13"/>
    </row>
    <row r="1378" spans="1:11" x14ac:dyDescent="0.25">
      <c r="A1378" s="3" t="str">
        <f>"10572030201"</f>
        <v>10572030201</v>
      </c>
      <c r="B1378" s="3" t="s">
        <v>1015</v>
      </c>
      <c r="C1378" s="3" t="s">
        <v>1903</v>
      </c>
      <c r="D1378" s="3">
        <v>4</v>
      </c>
      <c r="E1378" s="4" t="s">
        <v>1904</v>
      </c>
      <c r="F1378" s="5" t="s">
        <v>1905</v>
      </c>
      <c r="G1378" s="3">
        <v>4000</v>
      </c>
      <c r="I1378" s="7"/>
      <c r="J1378" s="8"/>
      <c r="K1378" s="9"/>
    </row>
    <row r="1379" spans="1:11" x14ac:dyDescent="0.25">
      <c r="A1379" t="str">
        <f>"00004035730"</f>
        <v>00004035730</v>
      </c>
      <c r="B1379" t="s">
        <v>1906</v>
      </c>
      <c r="C1379" t="s">
        <v>1907</v>
      </c>
      <c r="D1379">
        <v>2</v>
      </c>
      <c r="E1379" s="10" t="s">
        <v>1908</v>
      </c>
      <c r="F1379" s="11" t="s">
        <v>1909</v>
      </c>
      <c r="G1379">
        <v>0.5</v>
      </c>
      <c r="I1379" s="12"/>
      <c r="J1379" s="8"/>
      <c r="K1379" s="13"/>
    </row>
    <row r="1380" spans="1:11" x14ac:dyDescent="0.25">
      <c r="A1380" s="3" t="str">
        <f>"00781165501"</f>
        <v>00781165501</v>
      </c>
      <c r="B1380" s="3" t="s">
        <v>1910</v>
      </c>
      <c r="C1380" s="3" t="s">
        <v>1911</v>
      </c>
      <c r="D1380" s="3">
        <v>100</v>
      </c>
      <c r="E1380" s="4" t="s">
        <v>11</v>
      </c>
      <c r="F1380" s="5">
        <v>500</v>
      </c>
      <c r="G1380" s="3">
        <v>100</v>
      </c>
      <c r="I1380" s="7"/>
      <c r="J1380" s="8"/>
      <c r="K1380" s="9"/>
    </row>
    <row r="1381" spans="1:11" x14ac:dyDescent="0.25">
      <c r="A1381" t="str">
        <f>"00781165510"</f>
        <v>00781165510</v>
      </c>
      <c r="B1381" t="s">
        <v>1910</v>
      </c>
      <c r="C1381" t="s">
        <v>1912</v>
      </c>
      <c r="D1381">
        <v>1000</v>
      </c>
      <c r="E1381" s="10" t="s">
        <v>11</v>
      </c>
      <c r="F1381" s="11">
        <v>500</v>
      </c>
      <c r="G1381">
        <v>1000</v>
      </c>
      <c r="I1381" s="12"/>
      <c r="J1381" s="8"/>
      <c r="K1381" s="13"/>
    </row>
    <row r="1382" spans="1:11" x14ac:dyDescent="0.25">
      <c r="A1382" s="3" t="str">
        <f>"44567031110"</f>
        <v>44567031110</v>
      </c>
      <c r="B1382" s="3" t="s">
        <v>1913</v>
      </c>
      <c r="C1382" s="3" t="s">
        <v>1914</v>
      </c>
      <c r="D1382" s="3">
        <v>10</v>
      </c>
      <c r="E1382" s="4" t="s">
        <v>1915</v>
      </c>
      <c r="F1382" s="5">
        <v>5</v>
      </c>
      <c r="G1382" s="3">
        <v>1</v>
      </c>
      <c r="I1382" s="7"/>
      <c r="J1382" s="8"/>
      <c r="K1382" s="9"/>
    </row>
    <row r="1383" spans="1:11" x14ac:dyDescent="0.25">
      <c r="A1383" t="str">
        <f>"54092018981"</f>
        <v>54092018981</v>
      </c>
      <c r="B1383" t="s">
        <v>423</v>
      </c>
      <c r="C1383" t="s">
        <v>1916</v>
      </c>
      <c r="D1383">
        <v>240</v>
      </c>
      <c r="E1383" s="10" t="s">
        <v>11</v>
      </c>
      <c r="F1383" s="11">
        <v>250</v>
      </c>
      <c r="G1383">
        <v>240</v>
      </c>
      <c r="I1383" s="12"/>
      <c r="J1383" s="8"/>
      <c r="K1383" s="13"/>
    </row>
    <row r="1384" spans="1:11" x14ac:dyDescent="0.25">
      <c r="A1384" s="3" t="str">
        <f>"37000003204"</f>
        <v>37000003204</v>
      </c>
      <c r="B1384" s="3" t="s">
        <v>334</v>
      </c>
      <c r="C1384" s="3" t="s">
        <v>1917</v>
      </c>
      <c r="D1384" s="3">
        <v>16</v>
      </c>
      <c r="E1384" s="4"/>
      <c r="F1384" s="5"/>
      <c r="G1384" s="3">
        <v>473</v>
      </c>
      <c r="I1384" s="7"/>
      <c r="J1384" s="8"/>
      <c r="K1384" s="9"/>
    </row>
    <row r="1385" spans="1:11" x14ac:dyDescent="0.25">
      <c r="A1385" t="str">
        <f>"00472024260"</f>
        <v>00472024260</v>
      </c>
      <c r="B1385" t="s">
        <v>1918</v>
      </c>
      <c r="C1385" t="s">
        <v>1919</v>
      </c>
      <c r="D1385">
        <v>60</v>
      </c>
      <c r="E1385" s="10" t="s">
        <v>43</v>
      </c>
      <c r="F1385" s="11">
        <v>5</v>
      </c>
      <c r="G1385">
        <v>60</v>
      </c>
      <c r="I1385" s="12"/>
      <c r="J1385" s="8"/>
      <c r="K1385" s="13"/>
    </row>
    <row r="1386" spans="1:11" x14ac:dyDescent="0.25">
      <c r="A1386" s="3" t="str">
        <f>"00781104901"</f>
        <v>00781104901</v>
      </c>
      <c r="B1386" s="3" t="s">
        <v>1920</v>
      </c>
      <c r="C1386" s="3" t="s">
        <v>1921</v>
      </c>
      <c r="D1386" s="3">
        <v>100</v>
      </c>
      <c r="E1386" s="4" t="s">
        <v>11</v>
      </c>
      <c r="F1386" s="5">
        <v>16</v>
      </c>
      <c r="G1386" s="3">
        <v>100</v>
      </c>
      <c r="I1386" s="7"/>
      <c r="J1386" s="8"/>
      <c r="K1386" s="9"/>
    </row>
    <row r="1387" spans="1:11" x14ac:dyDescent="0.25">
      <c r="A1387" t="str">
        <f>"00781104601"</f>
        <v>00781104601</v>
      </c>
      <c r="B1387" t="s">
        <v>1920</v>
      </c>
      <c r="C1387" t="s">
        <v>1922</v>
      </c>
      <c r="D1387">
        <v>100</v>
      </c>
      <c r="E1387" s="10" t="s">
        <v>11</v>
      </c>
      <c r="F1387" s="11">
        <v>2</v>
      </c>
      <c r="G1387">
        <v>100</v>
      </c>
      <c r="I1387" s="12"/>
      <c r="J1387" s="8"/>
      <c r="K1387" s="13"/>
    </row>
    <row r="1388" spans="1:11" x14ac:dyDescent="0.25">
      <c r="A1388" s="3" t="str">
        <f>"00781104613"</f>
        <v>00781104613</v>
      </c>
      <c r="B1388" s="3" t="s">
        <v>1920</v>
      </c>
      <c r="C1388" s="3" t="s">
        <v>1923</v>
      </c>
      <c r="D1388" s="3">
        <v>100</v>
      </c>
      <c r="E1388" s="4" t="s">
        <v>1924</v>
      </c>
      <c r="F1388" s="5">
        <v>2</v>
      </c>
      <c r="G1388" s="3">
        <v>100</v>
      </c>
      <c r="I1388" s="7"/>
      <c r="J1388" s="8"/>
      <c r="K1388" s="9"/>
    </row>
    <row r="1389" spans="1:11" x14ac:dyDescent="0.25">
      <c r="A1389" t="str">
        <f>"00781104701"</f>
        <v>00781104701</v>
      </c>
      <c r="B1389" t="s">
        <v>1920</v>
      </c>
      <c r="C1389" t="s">
        <v>1925</v>
      </c>
      <c r="D1389">
        <v>100</v>
      </c>
      <c r="E1389" s="10" t="s">
        <v>11</v>
      </c>
      <c r="F1389" s="11">
        <v>4</v>
      </c>
      <c r="G1389">
        <v>100</v>
      </c>
      <c r="I1389" s="12"/>
      <c r="J1389" s="8"/>
      <c r="K1389" s="13"/>
    </row>
    <row r="1390" spans="1:11" x14ac:dyDescent="0.25">
      <c r="A1390" s="3" t="str">
        <f>"00781104713"</f>
        <v>00781104713</v>
      </c>
      <c r="B1390" s="3" t="s">
        <v>1920</v>
      </c>
      <c r="C1390" s="3" t="s">
        <v>1926</v>
      </c>
      <c r="D1390" s="3">
        <v>100</v>
      </c>
      <c r="E1390" s="4" t="s">
        <v>1924</v>
      </c>
      <c r="F1390" s="5">
        <v>4</v>
      </c>
      <c r="G1390" s="3">
        <v>100</v>
      </c>
      <c r="I1390" s="7"/>
      <c r="J1390" s="8"/>
      <c r="K1390" s="9"/>
    </row>
    <row r="1391" spans="1:11" x14ac:dyDescent="0.25">
      <c r="A1391" t="str">
        <f>"00781104801"</f>
        <v>00781104801</v>
      </c>
      <c r="B1391" t="s">
        <v>1920</v>
      </c>
      <c r="C1391" t="s">
        <v>1927</v>
      </c>
      <c r="D1391">
        <v>100</v>
      </c>
      <c r="E1391" s="10" t="s">
        <v>11</v>
      </c>
      <c r="F1391" s="11">
        <v>8</v>
      </c>
      <c r="G1391">
        <v>100</v>
      </c>
      <c r="I1391" s="12"/>
      <c r="J1391" s="8"/>
      <c r="K1391" s="13"/>
    </row>
    <row r="1392" spans="1:11" x14ac:dyDescent="0.25">
      <c r="A1392" s="3" t="str">
        <f>"00781104813"</f>
        <v>00781104813</v>
      </c>
      <c r="B1392" s="3" t="s">
        <v>1920</v>
      </c>
      <c r="C1392" s="3" t="s">
        <v>1928</v>
      </c>
      <c r="D1392" s="3">
        <v>100</v>
      </c>
      <c r="E1392" s="4" t="s">
        <v>1924</v>
      </c>
      <c r="F1392" s="5">
        <v>8</v>
      </c>
      <c r="G1392" s="3">
        <v>100</v>
      </c>
      <c r="I1392" s="7"/>
      <c r="J1392" s="8"/>
      <c r="K1392" s="9"/>
    </row>
    <row r="1393" spans="1:11" x14ac:dyDescent="0.25">
      <c r="A1393" t="str">
        <f>"42937070110"</f>
        <v>42937070110</v>
      </c>
      <c r="B1393" t="s">
        <v>1929</v>
      </c>
      <c r="C1393" t="s">
        <v>1930</v>
      </c>
      <c r="D1393">
        <v>100</v>
      </c>
      <c r="E1393" s="10" t="s">
        <v>11</v>
      </c>
      <c r="F1393" s="11">
        <v>100</v>
      </c>
      <c r="G1393">
        <v>100</v>
      </c>
      <c r="I1393" s="12"/>
      <c r="J1393" s="8"/>
      <c r="K1393" s="13"/>
    </row>
    <row r="1394" spans="1:11" x14ac:dyDescent="0.25">
      <c r="A1394" s="3" t="str">
        <f>"42937070210"</f>
        <v>42937070210</v>
      </c>
      <c r="B1394" s="3" t="s">
        <v>1929</v>
      </c>
      <c r="C1394" s="3" t="s">
        <v>1931</v>
      </c>
      <c r="D1394" s="3">
        <v>100</v>
      </c>
      <c r="E1394" s="4" t="s">
        <v>11</v>
      </c>
      <c r="F1394" s="5">
        <v>200</v>
      </c>
      <c r="G1394" s="3">
        <v>100</v>
      </c>
      <c r="I1394" s="7"/>
      <c r="J1394" s="8"/>
      <c r="K1394" s="9"/>
    </row>
    <row r="1395" spans="1:11" x14ac:dyDescent="0.25">
      <c r="A1395" t="str">
        <f>"51293081001"</f>
        <v>51293081001</v>
      </c>
      <c r="B1395" t="s">
        <v>1929</v>
      </c>
      <c r="C1395" t="s">
        <v>1932</v>
      </c>
      <c r="D1395">
        <v>100</v>
      </c>
      <c r="E1395" s="10" t="s">
        <v>11</v>
      </c>
      <c r="F1395" s="11">
        <v>100</v>
      </c>
      <c r="G1395">
        <v>100</v>
      </c>
      <c r="I1395" s="12"/>
      <c r="J1395" s="8"/>
      <c r="K1395" s="13"/>
    </row>
    <row r="1396" spans="1:11" x14ac:dyDescent="0.25">
      <c r="A1396" s="3" t="str">
        <f>"43386036021"</f>
        <v>43386036021</v>
      </c>
      <c r="B1396" s="3" t="s">
        <v>1933</v>
      </c>
      <c r="C1396" s="3" t="s">
        <v>1934</v>
      </c>
      <c r="D1396" s="3">
        <v>60</v>
      </c>
      <c r="E1396" s="4" t="s">
        <v>11</v>
      </c>
      <c r="F1396" s="5">
        <v>15</v>
      </c>
      <c r="G1396" s="3">
        <v>60</v>
      </c>
      <c r="I1396" s="7"/>
      <c r="J1396" s="8"/>
      <c r="K1396" s="9"/>
    </row>
    <row r="1397" spans="1:11" x14ac:dyDescent="0.25">
      <c r="A1397" t="str">
        <f>"00603516732"</f>
        <v>00603516732</v>
      </c>
      <c r="B1397" t="s">
        <v>1935</v>
      </c>
      <c r="C1397" t="s">
        <v>1936</v>
      </c>
      <c r="D1397">
        <v>1000</v>
      </c>
      <c r="E1397" s="10" t="s">
        <v>11</v>
      </c>
      <c r="F1397" s="11">
        <v>64.8</v>
      </c>
      <c r="G1397">
        <v>1000</v>
      </c>
      <c r="I1397" s="12"/>
      <c r="J1397" s="8"/>
      <c r="K1397" s="13"/>
    </row>
    <row r="1398" spans="1:11" x14ac:dyDescent="0.25">
      <c r="A1398" s="3" t="str">
        <f>"00641047625"</f>
        <v>00641047625</v>
      </c>
      <c r="B1398" s="3" t="s">
        <v>1937</v>
      </c>
      <c r="C1398" s="3" t="s">
        <v>1938</v>
      </c>
      <c r="D1398" s="3">
        <v>25</v>
      </c>
      <c r="E1398" s="4" t="s">
        <v>11</v>
      </c>
      <c r="F1398" s="5">
        <v>65</v>
      </c>
      <c r="G1398" s="3">
        <v>1</v>
      </c>
      <c r="I1398" s="7"/>
      <c r="J1398" s="8"/>
      <c r="K1398" s="9"/>
    </row>
    <row r="1399" spans="1:11" x14ac:dyDescent="0.25">
      <c r="A1399" t="str">
        <f>"63739020110"</f>
        <v>63739020110</v>
      </c>
      <c r="B1399" t="s">
        <v>1935</v>
      </c>
      <c r="C1399" t="s">
        <v>1939</v>
      </c>
      <c r="D1399">
        <v>100</v>
      </c>
      <c r="E1399" s="10" t="s">
        <v>11</v>
      </c>
      <c r="F1399" s="11">
        <v>32.4</v>
      </c>
      <c r="G1399">
        <v>100</v>
      </c>
      <c r="I1399" s="12"/>
      <c r="J1399" s="8"/>
      <c r="K1399" s="13"/>
    </row>
    <row r="1400" spans="1:11" x14ac:dyDescent="0.25">
      <c r="A1400" s="3" t="str">
        <f>"60432013108"</f>
        <v>60432013108</v>
      </c>
      <c r="B1400" s="3" t="s">
        <v>703</v>
      </c>
      <c r="C1400" s="3" t="s">
        <v>1940</v>
      </c>
      <c r="D1400" s="3">
        <v>8</v>
      </c>
      <c r="E1400" s="4" t="s">
        <v>438</v>
      </c>
      <c r="F1400" s="5">
        <v>125</v>
      </c>
      <c r="G1400" s="3">
        <v>237</v>
      </c>
      <c r="I1400" s="7"/>
      <c r="J1400" s="8"/>
      <c r="K1400" s="9"/>
    </row>
    <row r="1401" spans="1:11" x14ac:dyDescent="0.25">
      <c r="A1401" t="str">
        <f>"62756040201"</f>
        <v>62756040201</v>
      </c>
      <c r="B1401" t="s">
        <v>701</v>
      </c>
      <c r="C1401" t="s">
        <v>1941</v>
      </c>
      <c r="D1401">
        <v>100</v>
      </c>
      <c r="E1401" s="10" t="s">
        <v>33</v>
      </c>
      <c r="F1401" s="11">
        <v>100</v>
      </c>
      <c r="G1401">
        <v>100</v>
      </c>
      <c r="I1401" s="12"/>
      <c r="J1401" s="8"/>
      <c r="K1401" s="13"/>
    </row>
    <row r="1402" spans="1:11" x14ac:dyDescent="0.25">
      <c r="A1402" s="3" t="str">
        <f>"51079090520"</f>
        <v>51079090520</v>
      </c>
      <c r="B1402" s="3" t="s">
        <v>701</v>
      </c>
      <c r="C1402" s="3" t="s">
        <v>1942</v>
      </c>
      <c r="D1402" s="3">
        <v>100</v>
      </c>
      <c r="E1402" s="4" t="s">
        <v>33</v>
      </c>
      <c r="F1402" s="5">
        <v>100</v>
      </c>
      <c r="G1402" s="3">
        <v>100</v>
      </c>
      <c r="I1402" s="7"/>
      <c r="J1402" s="8"/>
      <c r="K1402" s="9"/>
    </row>
    <row r="1403" spans="1:11" x14ac:dyDescent="0.25">
      <c r="A1403" t="str">
        <f>"68084037601"</f>
        <v>68084037601</v>
      </c>
      <c r="B1403" t="s">
        <v>701</v>
      </c>
      <c r="C1403" t="s">
        <v>1943</v>
      </c>
      <c r="D1403">
        <v>100</v>
      </c>
      <c r="E1403" s="10" t="s">
        <v>33</v>
      </c>
      <c r="F1403" s="11">
        <v>100</v>
      </c>
      <c r="G1403">
        <v>100</v>
      </c>
      <c r="I1403" s="12"/>
      <c r="J1403" s="8"/>
      <c r="K1403" s="13"/>
    </row>
    <row r="1404" spans="1:11" x14ac:dyDescent="0.25">
      <c r="A1404" s="3" t="str">
        <f>"62756040203"</f>
        <v>62756040203</v>
      </c>
      <c r="B1404" s="3" t="s">
        <v>701</v>
      </c>
      <c r="C1404" s="3" t="s">
        <v>1944</v>
      </c>
      <c r="D1404" s="3">
        <v>1000</v>
      </c>
      <c r="E1404" s="4" t="s">
        <v>33</v>
      </c>
      <c r="F1404" s="5">
        <v>100</v>
      </c>
      <c r="G1404" s="3">
        <v>1000</v>
      </c>
      <c r="I1404" s="7"/>
      <c r="J1404" s="8"/>
      <c r="K1404" s="9"/>
    </row>
    <row r="1405" spans="1:11" x14ac:dyDescent="0.25">
      <c r="A1405" t="str">
        <f>"51672411103"</f>
        <v>51672411103</v>
      </c>
      <c r="B1405" t="s">
        <v>701</v>
      </c>
      <c r="C1405" t="s">
        <v>1944</v>
      </c>
      <c r="D1405">
        <v>1000</v>
      </c>
      <c r="E1405" s="10" t="s">
        <v>33</v>
      </c>
      <c r="F1405" s="11">
        <v>100</v>
      </c>
      <c r="G1405">
        <v>1000</v>
      </c>
      <c r="I1405" s="12"/>
      <c r="J1405" s="8"/>
      <c r="K1405" s="13"/>
    </row>
    <row r="1406" spans="1:11" x14ac:dyDescent="0.25">
      <c r="A1406" s="3" t="str">
        <f>"61314020415"</f>
        <v>61314020415</v>
      </c>
      <c r="B1406" s="3" t="s">
        <v>1945</v>
      </c>
      <c r="C1406" s="3" t="s">
        <v>1946</v>
      </c>
      <c r="D1406" s="3">
        <v>15</v>
      </c>
      <c r="E1406" s="4" t="s">
        <v>43</v>
      </c>
      <c r="F1406" s="5">
        <v>2</v>
      </c>
      <c r="G1406" s="3">
        <v>15</v>
      </c>
      <c r="I1406" s="7"/>
      <c r="J1406" s="8"/>
      <c r="K1406" s="9"/>
    </row>
    <row r="1407" spans="1:11" x14ac:dyDescent="0.25">
      <c r="A1407" t="str">
        <f>"00228280111"</f>
        <v>00228280111</v>
      </c>
      <c r="B1407" t="s">
        <v>1945</v>
      </c>
      <c r="C1407" t="s">
        <v>1947</v>
      </c>
      <c r="D1407">
        <v>100</v>
      </c>
      <c r="E1407" s="10" t="s">
        <v>11</v>
      </c>
      <c r="F1407" s="11">
        <v>5</v>
      </c>
      <c r="G1407">
        <v>100</v>
      </c>
      <c r="I1407" s="12"/>
      <c r="J1407" s="8"/>
      <c r="K1407" s="13"/>
    </row>
    <row r="1408" spans="1:11" x14ac:dyDescent="0.25">
      <c r="A1408" s="3" t="str">
        <f>"49884034701"</f>
        <v>49884034701</v>
      </c>
      <c r="B1408" s="3" t="s">
        <v>1948</v>
      </c>
      <c r="C1408" s="3" t="s">
        <v>1949</v>
      </c>
      <c r="D1408" s="3">
        <v>100</v>
      </c>
      <c r="E1408" s="4" t="s">
        <v>11</v>
      </c>
      <c r="F1408" s="5">
        <v>1</v>
      </c>
      <c r="G1408" s="3">
        <v>100</v>
      </c>
      <c r="I1408" s="7"/>
      <c r="J1408" s="8"/>
      <c r="K1408" s="9"/>
    </row>
    <row r="1409" spans="1:11" x14ac:dyDescent="0.25">
      <c r="A1409" t="str">
        <f>"49884034801"</f>
        <v>49884034801</v>
      </c>
      <c r="B1409" t="s">
        <v>1948</v>
      </c>
      <c r="C1409" t="s">
        <v>1950</v>
      </c>
      <c r="D1409">
        <v>100</v>
      </c>
      <c r="E1409" s="10" t="s">
        <v>11</v>
      </c>
      <c r="F1409" s="11">
        <v>2</v>
      </c>
      <c r="G1409">
        <v>100</v>
      </c>
      <c r="I1409" s="12"/>
      <c r="J1409" s="8"/>
      <c r="K1409" s="13"/>
    </row>
    <row r="1410" spans="1:11" x14ac:dyDescent="0.25">
      <c r="A1410" s="3" t="str">
        <f>"00093727398"</f>
        <v>00093727398</v>
      </c>
      <c r="B1410" s="3" t="s">
        <v>1951</v>
      </c>
      <c r="C1410" s="3" t="s">
        <v>1952</v>
      </c>
      <c r="D1410" s="3">
        <v>90</v>
      </c>
      <c r="E1410" s="4" t="s">
        <v>11</v>
      </c>
      <c r="F1410" s="5">
        <v>45</v>
      </c>
      <c r="G1410" s="3">
        <v>90</v>
      </c>
      <c r="I1410" s="7"/>
      <c r="J1410" s="8"/>
      <c r="K1410" s="9"/>
    </row>
    <row r="1411" spans="1:11" x14ac:dyDescent="0.25">
      <c r="A1411" t="str">
        <f>"44567080210"</f>
        <v>44567080210</v>
      </c>
      <c r="B1411" t="s">
        <v>1953</v>
      </c>
      <c r="C1411" t="s">
        <v>1954</v>
      </c>
      <c r="D1411">
        <v>300</v>
      </c>
      <c r="E1411" s="10" t="s">
        <v>1955</v>
      </c>
      <c r="F1411" s="11">
        <v>3.37</v>
      </c>
      <c r="G1411">
        <v>1</v>
      </c>
      <c r="I1411" s="12"/>
      <c r="J1411" s="8"/>
      <c r="K1411" s="13"/>
    </row>
    <row r="1412" spans="1:11" x14ac:dyDescent="0.25">
      <c r="A1412" s="3" t="str">
        <f>"29033001201"</f>
        <v>29033001201</v>
      </c>
      <c r="B1412" s="3" t="s">
        <v>1956</v>
      </c>
      <c r="C1412" s="3" t="s">
        <v>1957</v>
      </c>
      <c r="D1412" s="3">
        <v>100</v>
      </c>
      <c r="E1412" s="4" t="s">
        <v>11</v>
      </c>
      <c r="F1412" s="5">
        <v>10</v>
      </c>
      <c r="G1412" s="3">
        <v>100</v>
      </c>
      <c r="I1412" s="7"/>
      <c r="J1412" s="8"/>
      <c r="K1412" s="9"/>
    </row>
    <row r="1413" spans="1:11" x14ac:dyDescent="0.25">
      <c r="A1413" t="str">
        <f>"59762014001"</f>
        <v>59762014001</v>
      </c>
      <c r="B1413" t="s">
        <v>1956</v>
      </c>
      <c r="C1413" t="s">
        <v>1958</v>
      </c>
      <c r="D1413">
        <v>100</v>
      </c>
      <c r="E1413" s="10" t="s">
        <v>11</v>
      </c>
      <c r="F1413" s="11">
        <v>10</v>
      </c>
      <c r="G1413">
        <v>100</v>
      </c>
      <c r="I1413" s="12"/>
      <c r="J1413" s="8"/>
      <c r="K1413" s="13"/>
    </row>
    <row r="1414" spans="1:11" x14ac:dyDescent="0.25">
      <c r="A1414" s="3" t="str">
        <f>"29033001301"</f>
        <v>29033001301</v>
      </c>
      <c r="B1414" s="3" t="s">
        <v>1956</v>
      </c>
      <c r="C1414" s="3" t="s">
        <v>1959</v>
      </c>
      <c r="D1414" s="3">
        <v>100</v>
      </c>
      <c r="E1414" s="4" t="s">
        <v>11</v>
      </c>
      <c r="F1414" s="5">
        <v>20</v>
      </c>
      <c r="G1414" s="3">
        <v>100</v>
      </c>
      <c r="I1414" s="7"/>
      <c r="J1414" s="8"/>
      <c r="K1414" s="9"/>
    </row>
    <row r="1415" spans="1:11" x14ac:dyDescent="0.25">
      <c r="A1415" t="str">
        <f>"00378046701"</f>
        <v>00378046701</v>
      </c>
      <c r="B1415" t="s">
        <v>1956</v>
      </c>
      <c r="C1415" t="s">
        <v>1959</v>
      </c>
      <c r="D1415">
        <v>100</v>
      </c>
      <c r="E1415" s="10" t="s">
        <v>11</v>
      </c>
      <c r="F1415" s="11">
        <v>20</v>
      </c>
      <c r="G1415">
        <v>100</v>
      </c>
      <c r="I1415" s="12"/>
      <c r="J1415" s="8"/>
      <c r="K1415" s="13"/>
    </row>
    <row r="1416" spans="1:11" x14ac:dyDescent="0.25">
      <c r="A1416" s="3" t="str">
        <f>"00006483703"</f>
        <v>00006483703</v>
      </c>
      <c r="B1416" s="3" t="s">
        <v>1960</v>
      </c>
      <c r="C1416" s="3" t="s">
        <v>1961</v>
      </c>
      <c r="D1416" s="3">
        <v>5</v>
      </c>
      <c r="E1416" s="4"/>
      <c r="F1416" s="5"/>
      <c r="G1416" s="3">
        <v>0.5</v>
      </c>
      <c r="I1416" s="7"/>
      <c r="J1416" s="8"/>
      <c r="K1416" s="9"/>
    </row>
    <row r="1417" spans="1:11" x14ac:dyDescent="0.25">
      <c r="A1417" t="str">
        <f>"00006494300"</f>
        <v>00006494300</v>
      </c>
      <c r="B1417" t="s">
        <v>1960</v>
      </c>
      <c r="C1417" t="s">
        <v>1962</v>
      </c>
      <c r="D1417">
        <v>5</v>
      </c>
      <c r="F1417" s="11">
        <v>23</v>
      </c>
      <c r="G1417">
        <v>0.5</v>
      </c>
      <c r="I1417" s="12"/>
      <c r="J1417" s="8"/>
      <c r="K1417" s="13"/>
    </row>
    <row r="1418" spans="1:11" x14ac:dyDescent="0.25">
      <c r="A1418" s="3" t="str">
        <f>"00574060115"</f>
        <v>00574060115</v>
      </c>
      <c r="B1418" s="3" t="s">
        <v>1963</v>
      </c>
      <c r="C1418" s="3" t="s">
        <v>1964</v>
      </c>
      <c r="D1418" s="3">
        <v>15</v>
      </c>
      <c r="E1418" s="4"/>
      <c r="F1418" s="5"/>
      <c r="G1418" s="3">
        <v>15</v>
      </c>
      <c r="I1418" s="7"/>
      <c r="J1418" s="8"/>
      <c r="K1418" s="9"/>
    </row>
    <row r="1419" spans="1:11" x14ac:dyDescent="0.25">
      <c r="A1419" t="str">
        <f>"00904642281"</f>
        <v>00904642281</v>
      </c>
      <c r="B1419" t="s">
        <v>1644</v>
      </c>
      <c r="C1419" t="s">
        <v>1965</v>
      </c>
      <c r="D1419">
        <v>1700</v>
      </c>
      <c r="F1419" s="11">
        <v>3350</v>
      </c>
      <c r="G1419">
        <v>100</v>
      </c>
      <c r="I1419" s="12"/>
      <c r="J1419" s="8"/>
      <c r="K1419" s="13"/>
    </row>
    <row r="1420" spans="1:11" x14ac:dyDescent="0.25">
      <c r="A1420" s="3" t="str">
        <f>"00501379805"</f>
        <v>00501379805</v>
      </c>
      <c r="B1420" s="3" t="s">
        <v>252</v>
      </c>
      <c r="C1420" s="3" t="s">
        <v>1966</v>
      </c>
      <c r="D1420" s="3">
        <v>15</v>
      </c>
      <c r="E1420" s="4"/>
      <c r="F1420" s="5"/>
      <c r="G1420" s="3">
        <v>14.2</v>
      </c>
      <c r="I1420" s="7"/>
      <c r="J1420" s="8"/>
      <c r="K1420" s="9"/>
    </row>
    <row r="1421" spans="1:11" x14ac:dyDescent="0.25">
      <c r="A1421" t="str">
        <f>"00501379801"</f>
        <v>00501379801</v>
      </c>
      <c r="B1421" t="s">
        <v>252</v>
      </c>
      <c r="C1421" t="s">
        <v>1967</v>
      </c>
      <c r="D1421">
        <v>30</v>
      </c>
      <c r="G1421">
        <v>28.3</v>
      </c>
      <c r="I1421" s="12"/>
      <c r="J1421" s="8"/>
      <c r="K1421" s="13"/>
    </row>
    <row r="1422" spans="1:11" x14ac:dyDescent="0.25">
      <c r="A1422" s="3" t="str">
        <f>"00781571010"</f>
        <v>00781571010</v>
      </c>
      <c r="B1422" s="3" t="s">
        <v>1968</v>
      </c>
      <c r="C1422" s="3" t="s">
        <v>1969</v>
      </c>
      <c r="D1422" s="3">
        <v>1000</v>
      </c>
      <c r="E1422" s="4" t="s">
        <v>1970</v>
      </c>
      <c r="F1422" s="5">
        <v>10</v>
      </c>
      <c r="G1422" s="3">
        <v>1000</v>
      </c>
      <c r="I1422" s="7"/>
      <c r="J1422" s="8"/>
      <c r="K1422" s="9"/>
    </row>
    <row r="1423" spans="1:11" x14ac:dyDescent="0.25">
      <c r="A1423" t="str">
        <f>"68382053701"</f>
        <v>68382053701</v>
      </c>
      <c r="B1423" t="s">
        <v>1971</v>
      </c>
      <c r="C1423" t="s">
        <v>1972</v>
      </c>
      <c r="D1423">
        <v>100</v>
      </c>
      <c r="E1423" s="10" t="s">
        <v>1970</v>
      </c>
      <c r="F1423" s="11">
        <v>10</v>
      </c>
      <c r="G1423">
        <v>100</v>
      </c>
      <c r="I1423" s="12"/>
      <c r="J1423" s="8"/>
      <c r="K1423" s="13"/>
    </row>
    <row r="1424" spans="1:11" x14ac:dyDescent="0.25">
      <c r="A1424" s="3" t="str">
        <f>"68084052401"</f>
        <v>68084052401</v>
      </c>
      <c r="B1424" s="3" t="s">
        <v>1968</v>
      </c>
      <c r="C1424" s="3" t="s">
        <v>1973</v>
      </c>
      <c r="D1424" s="3">
        <v>100</v>
      </c>
      <c r="E1424" s="4" t="s">
        <v>1974</v>
      </c>
      <c r="F1424" s="5">
        <v>10</v>
      </c>
      <c r="G1424" s="3">
        <v>100</v>
      </c>
      <c r="I1424" s="7"/>
      <c r="J1424" s="8"/>
      <c r="K1424" s="9"/>
    </row>
    <row r="1425" spans="1:11" x14ac:dyDescent="0.25">
      <c r="A1425" t="str">
        <f>"68001023508"</f>
        <v>68001023508</v>
      </c>
      <c r="B1425" t="s">
        <v>1968</v>
      </c>
      <c r="C1425" t="s">
        <v>1975</v>
      </c>
      <c r="D1425">
        <v>1000</v>
      </c>
      <c r="E1425" s="10" t="s">
        <v>1974</v>
      </c>
      <c r="F1425" s="11">
        <v>20</v>
      </c>
      <c r="G1425">
        <v>1000</v>
      </c>
      <c r="I1425" s="12"/>
      <c r="J1425" s="8"/>
      <c r="K1425" s="13"/>
    </row>
    <row r="1426" spans="1:11" x14ac:dyDescent="0.25">
      <c r="A1426" s="3" t="str">
        <f>"68084036009"</f>
        <v>68084036009</v>
      </c>
      <c r="B1426" s="3" t="s">
        <v>1968</v>
      </c>
      <c r="C1426" s="3" t="s">
        <v>1976</v>
      </c>
      <c r="D1426" s="3">
        <v>80</v>
      </c>
      <c r="E1426" s="4" t="s">
        <v>1974</v>
      </c>
      <c r="F1426" s="5">
        <v>20</v>
      </c>
      <c r="G1426" s="3">
        <v>80</v>
      </c>
      <c r="I1426" s="7"/>
      <c r="J1426" s="8"/>
      <c r="K1426" s="9"/>
    </row>
    <row r="1427" spans="1:11" x14ac:dyDescent="0.25">
      <c r="A1427" t="str">
        <f>"68084063201"</f>
        <v>68084063201</v>
      </c>
      <c r="B1427" t="s">
        <v>1968</v>
      </c>
      <c r="C1427" t="s">
        <v>1977</v>
      </c>
      <c r="D1427">
        <v>100</v>
      </c>
      <c r="E1427" s="10" t="s">
        <v>1970</v>
      </c>
      <c r="F1427" s="11">
        <v>10</v>
      </c>
      <c r="G1427">
        <v>100</v>
      </c>
      <c r="I1427" s="12"/>
      <c r="J1427" s="8"/>
      <c r="K1427" s="13"/>
    </row>
    <row r="1428" spans="1:11" x14ac:dyDescent="0.25">
      <c r="A1428" s="3" t="str">
        <f>"00597013560"</f>
        <v>00597013560</v>
      </c>
      <c r="B1428" s="3" t="s">
        <v>1978</v>
      </c>
      <c r="C1428" s="3" t="s">
        <v>1979</v>
      </c>
      <c r="D1428" s="3">
        <v>60</v>
      </c>
      <c r="E1428" s="4" t="s">
        <v>11</v>
      </c>
      <c r="F1428" s="5">
        <v>150</v>
      </c>
      <c r="G1428" s="3">
        <v>60</v>
      </c>
      <c r="I1428" s="7"/>
      <c r="J1428" s="8"/>
      <c r="K1428" s="9"/>
    </row>
    <row r="1429" spans="1:11" x14ac:dyDescent="0.25">
      <c r="A1429" t="str">
        <f>"00024590102"</f>
        <v>00024590102</v>
      </c>
      <c r="B1429" t="s">
        <v>1980</v>
      </c>
      <c r="C1429" t="s">
        <v>1981</v>
      </c>
      <c r="D1429">
        <v>2</v>
      </c>
      <c r="E1429" s="10" t="s">
        <v>20</v>
      </c>
      <c r="F1429" s="11">
        <v>75</v>
      </c>
      <c r="G1429">
        <v>1</v>
      </c>
      <c r="I1429" s="12"/>
      <c r="J1429" s="8"/>
      <c r="K1429" s="13"/>
    </row>
    <row r="1430" spans="1:11" x14ac:dyDescent="0.25">
      <c r="A1430" s="3" t="str">
        <f>"13668009190"</f>
        <v>13668009190</v>
      </c>
      <c r="B1430" s="3" t="s">
        <v>1982</v>
      </c>
      <c r="C1430" s="3" t="s">
        <v>1983</v>
      </c>
      <c r="D1430" s="3">
        <v>90</v>
      </c>
      <c r="E1430" s="4" t="s">
        <v>11</v>
      </c>
      <c r="F1430" s="5">
        <v>0.125</v>
      </c>
      <c r="G1430" s="3">
        <v>90</v>
      </c>
      <c r="I1430" s="7"/>
      <c r="J1430" s="8"/>
      <c r="K1430" s="9"/>
    </row>
    <row r="1431" spans="1:11" x14ac:dyDescent="0.25">
      <c r="A1431" t="str">
        <f>"13668009390"</f>
        <v>13668009390</v>
      </c>
      <c r="B1431" t="s">
        <v>1982</v>
      </c>
      <c r="C1431" t="s">
        <v>1984</v>
      </c>
      <c r="D1431">
        <v>90</v>
      </c>
      <c r="E1431" s="10" t="s">
        <v>11</v>
      </c>
      <c r="F1431" s="11">
        <v>0.5</v>
      </c>
      <c r="G1431">
        <v>90</v>
      </c>
      <c r="I1431" s="12"/>
      <c r="J1431" s="8"/>
      <c r="K1431" s="13"/>
    </row>
    <row r="1432" spans="1:11" x14ac:dyDescent="0.25">
      <c r="A1432" s="3" t="str">
        <f>"13668009590"</f>
        <v>13668009590</v>
      </c>
      <c r="B1432" s="3" t="s">
        <v>1982</v>
      </c>
      <c r="C1432" s="3" t="s">
        <v>1985</v>
      </c>
      <c r="D1432" s="3">
        <v>90</v>
      </c>
      <c r="E1432" s="4" t="s">
        <v>11</v>
      </c>
      <c r="F1432" s="5">
        <v>1.5</v>
      </c>
      <c r="G1432" s="3">
        <v>90</v>
      </c>
      <c r="I1432" s="7"/>
      <c r="J1432" s="8"/>
      <c r="K1432" s="9"/>
    </row>
    <row r="1433" spans="1:11" x14ac:dyDescent="0.25">
      <c r="A1433" t="str">
        <f>"51079045820"</f>
        <v>51079045820</v>
      </c>
      <c r="B1433" t="s">
        <v>1986</v>
      </c>
      <c r="C1433" t="s">
        <v>1987</v>
      </c>
      <c r="D1433">
        <v>100</v>
      </c>
      <c r="E1433" s="10" t="s">
        <v>11</v>
      </c>
      <c r="F1433" s="11">
        <v>20</v>
      </c>
      <c r="G1433">
        <v>100</v>
      </c>
      <c r="I1433" s="12"/>
      <c r="J1433" s="8"/>
      <c r="K1433" s="13"/>
    </row>
    <row r="1434" spans="1:11" x14ac:dyDescent="0.25">
      <c r="A1434" s="3" t="str">
        <f>"68180048602"</f>
        <v>68180048602</v>
      </c>
      <c r="B1434" s="3" t="s">
        <v>1986</v>
      </c>
      <c r="C1434" s="3" t="s">
        <v>1988</v>
      </c>
      <c r="D1434" s="3">
        <v>500</v>
      </c>
      <c r="E1434" s="4" t="s">
        <v>11</v>
      </c>
      <c r="F1434" s="5">
        <v>20</v>
      </c>
      <c r="G1434" s="3">
        <v>500</v>
      </c>
      <c r="I1434" s="7"/>
      <c r="J1434" s="8"/>
      <c r="K1434" s="9"/>
    </row>
    <row r="1435" spans="1:11" x14ac:dyDescent="0.25">
      <c r="A1435" t="str">
        <f>"68180048609"</f>
        <v>68180048609</v>
      </c>
      <c r="B1435" t="s">
        <v>1986</v>
      </c>
      <c r="C1435" t="s">
        <v>1989</v>
      </c>
      <c r="D1435">
        <v>90</v>
      </c>
      <c r="E1435" s="10" t="s">
        <v>11</v>
      </c>
      <c r="F1435" s="11">
        <v>20</v>
      </c>
      <c r="G1435">
        <v>90</v>
      </c>
      <c r="I1435" s="12"/>
      <c r="J1435" s="8"/>
      <c r="K1435" s="13"/>
    </row>
    <row r="1436" spans="1:11" x14ac:dyDescent="0.25">
      <c r="A1436" s="3" t="str">
        <f>"51079078220"</f>
        <v>51079078220</v>
      </c>
      <c r="B1436" s="3" t="s">
        <v>1986</v>
      </c>
      <c r="C1436" s="3" t="s">
        <v>1990</v>
      </c>
      <c r="D1436" s="3">
        <v>100</v>
      </c>
      <c r="E1436" s="4" t="s">
        <v>1991</v>
      </c>
      <c r="F1436" s="5">
        <v>40</v>
      </c>
      <c r="G1436" s="3">
        <v>100</v>
      </c>
      <c r="I1436" s="7"/>
      <c r="J1436" s="8"/>
      <c r="K1436" s="9"/>
    </row>
    <row r="1437" spans="1:11" x14ac:dyDescent="0.25">
      <c r="A1437" t="str">
        <f>"68180048702"</f>
        <v>68180048702</v>
      </c>
      <c r="B1437" t="s">
        <v>1986</v>
      </c>
      <c r="C1437" t="s">
        <v>1992</v>
      </c>
      <c r="D1437">
        <v>500</v>
      </c>
      <c r="E1437" s="10" t="s">
        <v>11</v>
      </c>
      <c r="F1437" s="11">
        <v>40</v>
      </c>
      <c r="G1437">
        <v>500</v>
      </c>
      <c r="I1437" s="12"/>
      <c r="J1437" s="8"/>
      <c r="K1437" s="13"/>
    </row>
    <row r="1438" spans="1:11" x14ac:dyDescent="0.25">
      <c r="A1438" s="3" t="str">
        <f>"68180048709"</f>
        <v>68180048709</v>
      </c>
      <c r="B1438" s="3" t="s">
        <v>1986</v>
      </c>
      <c r="C1438" s="3" t="s">
        <v>1993</v>
      </c>
      <c r="D1438" s="3">
        <v>90</v>
      </c>
      <c r="E1438" s="4" t="s">
        <v>11</v>
      </c>
      <c r="F1438" s="5">
        <v>40</v>
      </c>
      <c r="G1438" s="3">
        <v>90</v>
      </c>
      <c r="I1438" s="7"/>
      <c r="J1438" s="8"/>
      <c r="K1438" s="9"/>
    </row>
    <row r="1439" spans="1:11" x14ac:dyDescent="0.25">
      <c r="A1439" t="str">
        <f>"68180048802"</f>
        <v>68180048802</v>
      </c>
      <c r="B1439" t="s">
        <v>1986</v>
      </c>
      <c r="C1439" t="s">
        <v>1994</v>
      </c>
      <c r="D1439">
        <v>500</v>
      </c>
      <c r="E1439" s="10" t="s">
        <v>11</v>
      </c>
      <c r="F1439" s="11">
        <v>80</v>
      </c>
      <c r="G1439">
        <v>500</v>
      </c>
      <c r="I1439" s="12"/>
      <c r="J1439" s="8"/>
      <c r="K1439" s="13"/>
    </row>
    <row r="1440" spans="1:11" x14ac:dyDescent="0.25">
      <c r="A1440" s="3" t="str">
        <f>"68180048809"</f>
        <v>68180048809</v>
      </c>
      <c r="B1440" s="3" t="s">
        <v>1986</v>
      </c>
      <c r="C1440" s="3" t="s">
        <v>1995</v>
      </c>
      <c r="D1440" s="3">
        <v>90</v>
      </c>
      <c r="E1440" s="4" t="s">
        <v>11</v>
      </c>
      <c r="F1440" s="5">
        <v>80</v>
      </c>
      <c r="G1440" s="3">
        <v>90</v>
      </c>
      <c r="I1440" s="7"/>
      <c r="J1440" s="8"/>
      <c r="K1440" s="9"/>
    </row>
    <row r="1441" spans="1:11" x14ac:dyDescent="0.25">
      <c r="A1441" t="str">
        <f>"00904589161"</f>
        <v>00904589161</v>
      </c>
      <c r="B1441" t="s">
        <v>1986</v>
      </c>
      <c r="C1441" t="s">
        <v>1996</v>
      </c>
      <c r="D1441">
        <v>100</v>
      </c>
      <c r="E1441" s="10" t="s">
        <v>11</v>
      </c>
      <c r="F1441" s="11">
        <v>10</v>
      </c>
      <c r="G1441">
        <v>100</v>
      </c>
      <c r="I1441" s="12"/>
      <c r="J1441" s="8"/>
      <c r="K1441" s="13"/>
    </row>
    <row r="1442" spans="1:11" x14ac:dyDescent="0.25">
      <c r="A1442" s="3" t="str">
        <f>"68084050001"</f>
        <v>68084050001</v>
      </c>
      <c r="B1442" s="3" t="s">
        <v>1986</v>
      </c>
      <c r="C1442" s="3" t="s">
        <v>1997</v>
      </c>
      <c r="D1442" s="3">
        <v>100</v>
      </c>
      <c r="E1442" s="4" t="s">
        <v>11</v>
      </c>
      <c r="F1442" s="5">
        <v>10</v>
      </c>
      <c r="G1442" s="3">
        <v>100</v>
      </c>
      <c r="I1442" s="7"/>
      <c r="J1442" s="8"/>
      <c r="K1442" s="9"/>
    </row>
    <row r="1443" spans="1:11" x14ac:dyDescent="0.25">
      <c r="A1443" t="str">
        <f>"68180048502"</f>
        <v>68180048502</v>
      </c>
      <c r="B1443" t="s">
        <v>1986</v>
      </c>
      <c r="C1443" t="s">
        <v>1998</v>
      </c>
      <c r="D1443">
        <v>500</v>
      </c>
      <c r="E1443" s="10" t="s">
        <v>11</v>
      </c>
      <c r="F1443" s="11">
        <v>10</v>
      </c>
      <c r="G1443">
        <v>500</v>
      </c>
      <c r="I1443" s="12"/>
      <c r="J1443" s="8"/>
      <c r="K1443" s="13"/>
    </row>
    <row r="1444" spans="1:11" x14ac:dyDescent="0.25">
      <c r="A1444" s="3" t="str">
        <f>"68180048509"</f>
        <v>68180048509</v>
      </c>
      <c r="B1444" s="3" t="s">
        <v>1986</v>
      </c>
      <c r="C1444" s="3" t="s">
        <v>1999</v>
      </c>
      <c r="D1444" s="3">
        <v>90</v>
      </c>
      <c r="E1444" s="4" t="s">
        <v>11</v>
      </c>
      <c r="F1444" s="5">
        <v>10</v>
      </c>
      <c r="G1444" s="3">
        <v>90</v>
      </c>
      <c r="I1444" s="7"/>
      <c r="J1444" s="8"/>
      <c r="K1444" s="9"/>
    </row>
    <row r="1445" spans="1:11" x14ac:dyDescent="0.25">
      <c r="A1445" t="str">
        <f>"00378110101"</f>
        <v>00378110101</v>
      </c>
      <c r="B1445" t="s">
        <v>2000</v>
      </c>
      <c r="C1445" t="s">
        <v>2001</v>
      </c>
      <c r="D1445">
        <v>100</v>
      </c>
      <c r="E1445" s="10" t="s">
        <v>11</v>
      </c>
      <c r="F1445" s="11">
        <v>1</v>
      </c>
      <c r="G1445">
        <v>100</v>
      </c>
      <c r="I1445" s="12"/>
      <c r="J1445" s="8"/>
      <c r="K1445" s="13"/>
    </row>
    <row r="1446" spans="1:11" x14ac:dyDescent="0.25">
      <c r="A1446" s="3" t="str">
        <f>"51079063020"</f>
        <v>51079063020</v>
      </c>
      <c r="B1446" s="3" t="s">
        <v>2000</v>
      </c>
      <c r="C1446" s="3" t="s">
        <v>2002</v>
      </c>
      <c r="D1446" s="3">
        <v>100</v>
      </c>
      <c r="E1446" s="4" t="s">
        <v>11</v>
      </c>
      <c r="F1446" s="5">
        <v>1</v>
      </c>
      <c r="G1446" s="3">
        <v>100</v>
      </c>
      <c r="I1446" s="7"/>
      <c r="J1446" s="8"/>
      <c r="K1446" s="9"/>
    </row>
    <row r="1447" spans="1:11" x14ac:dyDescent="0.25">
      <c r="A1447" t="str">
        <f>"00378110110"</f>
        <v>00378110110</v>
      </c>
      <c r="B1447" t="s">
        <v>2000</v>
      </c>
      <c r="C1447" t="s">
        <v>2003</v>
      </c>
      <c r="D1447">
        <v>1000</v>
      </c>
      <c r="E1447" s="10" t="s">
        <v>11</v>
      </c>
      <c r="F1447" s="11">
        <v>1</v>
      </c>
      <c r="G1447">
        <v>1000</v>
      </c>
      <c r="I1447" s="12"/>
      <c r="J1447" s="8"/>
      <c r="K1447" s="13"/>
    </row>
    <row r="1448" spans="1:11" x14ac:dyDescent="0.25">
      <c r="A1448" s="3" t="str">
        <f>"00093406801"</f>
        <v>00093406801</v>
      </c>
      <c r="B1448" s="3" t="s">
        <v>2000</v>
      </c>
      <c r="C1448" s="3" t="s">
        <v>2004</v>
      </c>
      <c r="D1448" s="3">
        <v>100</v>
      </c>
      <c r="E1448" s="4" t="s">
        <v>11</v>
      </c>
      <c r="F1448" s="5">
        <v>2</v>
      </c>
      <c r="G1448" s="3">
        <v>100</v>
      </c>
      <c r="I1448" s="7"/>
      <c r="J1448" s="8"/>
      <c r="K1448" s="9"/>
    </row>
    <row r="1449" spans="1:11" x14ac:dyDescent="0.25">
      <c r="A1449" t="str">
        <f>"51079063120"</f>
        <v>51079063120</v>
      </c>
      <c r="B1449" t="s">
        <v>2000</v>
      </c>
      <c r="C1449" t="s">
        <v>2005</v>
      </c>
      <c r="D1449">
        <v>100</v>
      </c>
      <c r="E1449" s="10" t="s">
        <v>11</v>
      </c>
      <c r="F1449" s="11">
        <v>2</v>
      </c>
      <c r="G1449">
        <v>100</v>
      </c>
      <c r="I1449" s="12"/>
      <c r="J1449" s="8"/>
      <c r="K1449" s="13"/>
    </row>
    <row r="1450" spans="1:11" x14ac:dyDescent="0.25">
      <c r="A1450" s="3" t="str">
        <f>"00093406810"</f>
        <v>00093406810</v>
      </c>
      <c r="B1450" s="3" t="s">
        <v>2000</v>
      </c>
      <c r="C1450" s="3" t="s">
        <v>2006</v>
      </c>
      <c r="D1450" s="3">
        <v>1000</v>
      </c>
      <c r="E1450" s="4" t="s">
        <v>11</v>
      </c>
      <c r="F1450" s="5">
        <v>2</v>
      </c>
      <c r="G1450" s="3">
        <v>1000</v>
      </c>
      <c r="I1450" s="7"/>
      <c r="J1450" s="8"/>
      <c r="K1450" s="9"/>
    </row>
    <row r="1451" spans="1:11" x14ac:dyDescent="0.25">
      <c r="A1451" t="str">
        <f>"00093406905"</f>
        <v>00093406905</v>
      </c>
      <c r="B1451" t="s">
        <v>2000</v>
      </c>
      <c r="C1451" t="s">
        <v>2007</v>
      </c>
      <c r="D1451">
        <v>500</v>
      </c>
      <c r="E1451" s="10" t="s">
        <v>11</v>
      </c>
      <c r="F1451" s="11">
        <v>5</v>
      </c>
      <c r="G1451">
        <v>500</v>
      </c>
      <c r="I1451" s="12"/>
      <c r="J1451" s="8"/>
      <c r="K1451" s="13"/>
    </row>
    <row r="1452" spans="1:11" x14ac:dyDescent="0.25">
      <c r="A1452" s="3" t="str">
        <f>"11980017405"</f>
        <v>11980017405</v>
      </c>
      <c r="B1452" s="3" t="s">
        <v>2008</v>
      </c>
      <c r="C1452" s="3" t="s">
        <v>2009</v>
      </c>
      <c r="D1452" s="3">
        <v>5</v>
      </c>
      <c r="E1452" s="4" t="s">
        <v>43</v>
      </c>
      <c r="F1452" s="5">
        <v>0.12</v>
      </c>
      <c r="G1452" s="3">
        <v>5</v>
      </c>
      <c r="I1452" s="7"/>
      <c r="J1452" s="8"/>
      <c r="K1452" s="9"/>
    </row>
    <row r="1453" spans="1:11" x14ac:dyDescent="0.25">
      <c r="A1453" t="str">
        <f>"61314063705"</f>
        <v>61314063705</v>
      </c>
      <c r="B1453" t="s">
        <v>2008</v>
      </c>
      <c r="C1453" t="s">
        <v>2010</v>
      </c>
      <c r="D1453">
        <v>5</v>
      </c>
      <c r="E1453" s="10" t="s">
        <v>43</v>
      </c>
      <c r="F1453" s="11">
        <v>1</v>
      </c>
      <c r="G1453">
        <v>5</v>
      </c>
      <c r="I1453" s="12"/>
      <c r="J1453" s="8"/>
      <c r="K1453" s="13"/>
    </row>
    <row r="1454" spans="1:11" x14ac:dyDescent="0.25">
      <c r="A1454" s="3" t="str">
        <f>"00054474125"</f>
        <v>00054474125</v>
      </c>
      <c r="B1454" s="3" t="s">
        <v>2011</v>
      </c>
      <c r="C1454" s="3" t="s">
        <v>2012</v>
      </c>
      <c r="D1454" s="3">
        <v>100</v>
      </c>
      <c r="E1454" s="4" t="s">
        <v>11</v>
      </c>
      <c r="F1454" s="5">
        <v>1</v>
      </c>
      <c r="G1454" s="3">
        <v>100</v>
      </c>
      <c r="I1454" s="7"/>
      <c r="J1454" s="8"/>
      <c r="K1454" s="9"/>
    </row>
    <row r="1455" spans="1:11" x14ac:dyDescent="0.25">
      <c r="A1455" t="str">
        <f>"00603533821"</f>
        <v>00603533821</v>
      </c>
      <c r="B1455" t="s">
        <v>2011</v>
      </c>
      <c r="C1455" t="s">
        <v>2013</v>
      </c>
      <c r="D1455">
        <v>100</v>
      </c>
      <c r="E1455" s="10" t="s">
        <v>11</v>
      </c>
      <c r="F1455" s="11">
        <v>10</v>
      </c>
      <c r="G1455">
        <v>100</v>
      </c>
      <c r="I1455" s="12"/>
      <c r="J1455" s="8"/>
      <c r="K1455" s="13"/>
    </row>
    <row r="1456" spans="1:11" x14ac:dyDescent="0.25">
      <c r="A1456" s="3" t="str">
        <f>"63739051910"</f>
        <v>63739051910</v>
      </c>
      <c r="B1456" s="3" t="s">
        <v>2011</v>
      </c>
      <c r="C1456" s="3" t="s">
        <v>2014</v>
      </c>
      <c r="D1456" s="3">
        <v>100</v>
      </c>
      <c r="E1456" s="4" t="s">
        <v>11</v>
      </c>
      <c r="F1456" s="5">
        <v>10</v>
      </c>
      <c r="G1456" s="3">
        <v>100</v>
      </c>
      <c r="I1456" s="7"/>
      <c r="J1456" s="8"/>
      <c r="K1456" s="9"/>
    </row>
    <row r="1457" spans="1:11" x14ac:dyDescent="0.25">
      <c r="A1457" t="str">
        <f>"00054001720"</f>
        <v>00054001720</v>
      </c>
      <c r="B1457" t="s">
        <v>2011</v>
      </c>
      <c r="C1457" t="s">
        <v>2014</v>
      </c>
      <c r="D1457">
        <v>100</v>
      </c>
      <c r="E1457" s="10" t="s">
        <v>11</v>
      </c>
      <c r="F1457" s="11">
        <v>10</v>
      </c>
      <c r="G1457">
        <v>100</v>
      </c>
      <c r="I1457" s="12"/>
      <c r="J1457" s="8"/>
      <c r="K1457" s="13"/>
    </row>
    <row r="1458" spans="1:11" x14ac:dyDescent="0.25">
      <c r="A1458" s="3" t="str">
        <f>"00603533832"</f>
        <v>00603533832</v>
      </c>
      <c r="B1458" s="3" t="s">
        <v>2011</v>
      </c>
      <c r="C1458" s="3" t="s">
        <v>2015</v>
      </c>
      <c r="D1458" s="3">
        <v>1000</v>
      </c>
      <c r="E1458" s="4" t="s">
        <v>11</v>
      </c>
      <c r="F1458" s="5">
        <v>10</v>
      </c>
      <c r="G1458" s="3">
        <v>1000</v>
      </c>
      <c r="I1458" s="7"/>
      <c r="J1458" s="8"/>
      <c r="K1458" s="9"/>
    </row>
    <row r="1459" spans="1:11" x14ac:dyDescent="0.25">
      <c r="A1459" t="str">
        <f>"60687013401"</f>
        <v>60687013401</v>
      </c>
      <c r="B1459" t="s">
        <v>2011</v>
      </c>
      <c r="C1459" t="s">
        <v>2016</v>
      </c>
      <c r="D1459">
        <v>100</v>
      </c>
      <c r="E1459" s="10" t="s">
        <v>11</v>
      </c>
      <c r="F1459" s="11">
        <v>10</v>
      </c>
      <c r="G1459">
        <v>100</v>
      </c>
      <c r="I1459" s="12"/>
      <c r="J1459" s="8"/>
      <c r="K1459" s="13"/>
    </row>
    <row r="1460" spans="1:11" x14ac:dyDescent="0.25">
      <c r="A1460" s="3" t="str">
        <f>"00054474225"</f>
        <v>00054474225</v>
      </c>
      <c r="B1460" s="3" t="s">
        <v>2011</v>
      </c>
      <c r="C1460" s="3" t="s">
        <v>2017</v>
      </c>
      <c r="D1460" s="3">
        <v>100</v>
      </c>
      <c r="E1460" s="4" t="s">
        <v>11</v>
      </c>
      <c r="F1460" s="5">
        <v>2.5</v>
      </c>
      <c r="G1460" s="3">
        <v>100</v>
      </c>
      <c r="I1460" s="7"/>
      <c r="J1460" s="8"/>
      <c r="K1460" s="9"/>
    </row>
    <row r="1461" spans="1:11" x14ac:dyDescent="0.25">
      <c r="A1461" t="str">
        <f>"00591544301"</f>
        <v>00591544301</v>
      </c>
      <c r="B1461" t="s">
        <v>2011</v>
      </c>
      <c r="C1461" t="s">
        <v>2018</v>
      </c>
      <c r="D1461">
        <v>100</v>
      </c>
      <c r="E1461" s="10" t="s">
        <v>11</v>
      </c>
      <c r="F1461" s="11">
        <v>20</v>
      </c>
      <c r="G1461">
        <v>100</v>
      </c>
      <c r="I1461" s="12"/>
      <c r="J1461" s="8"/>
      <c r="K1461" s="13"/>
    </row>
    <row r="1462" spans="1:11" x14ac:dyDescent="0.25">
      <c r="A1462" s="3" t="str">
        <f>"00054001820"</f>
        <v>00054001820</v>
      </c>
      <c r="B1462" s="3" t="s">
        <v>2011</v>
      </c>
      <c r="C1462" s="3" t="s">
        <v>2020</v>
      </c>
      <c r="D1462" s="3">
        <v>100</v>
      </c>
      <c r="E1462" s="4" t="s">
        <v>11</v>
      </c>
      <c r="F1462" s="5">
        <v>20</v>
      </c>
      <c r="G1462" s="3">
        <v>100</v>
      </c>
      <c r="I1462" s="7"/>
      <c r="J1462" s="8"/>
      <c r="K1462" s="9"/>
    </row>
    <row r="1463" spans="1:11" x14ac:dyDescent="0.25">
      <c r="A1463" t="str">
        <f>"00591544310"</f>
        <v>00591544310</v>
      </c>
      <c r="B1463" t="s">
        <v>2011</v>
      </c>
      <c r="C1463" t="s">
        <v>2019</v>
      </c>
      <c r="D1463">
        <v>1000</v>
      </c>
      <c r="E1463" s="10" t="s">
        <v>11</v>
      </c>
      <c r="F1463" s="11">
        <v>20</v>
      </c>
      <c r="G1463">
        <v>1000</v>
      </c>
      <c r="I1463" s="12"/>
      <c r="J1463" s="8"/>
      <c r="K1463" s="13"/>
    </row>
    <row r="1464" spans="1:11" x14ac:dyDescent="0.25">
      <c r="A1464" s="3" t="str">
        <f>"00591544305"</f>
        <v>00591544305</v>
      </c>
      <c r="B1464" s="3" t="s">
        <v>2011</v>
      </c>
      <c r="C1464" s="3" t="s">
        <v>2021</v>
      </c>
      <c r="D1464" s="3">
        <v>500</v>
      </c>
      <c r="E1464" s="4" t="s">
        <v>11</v>
      </c>
      <c r="F1464" s="5">
        <v>20</v>
      </c>
      <c r="G1464" s="3">
        <v>500</v>
      </c>
      <c r="I1464" s="7"/>
      <c r="J1464" s="8"/>
      <c r="K1464" s="9"/>
    </row>
    <row r="1465" spans="1:11" x14ac:dyDescent="0.25">
      <c r="A1465" t="str">
        <f>"60687014501"</f>
        <v>60687014501</v>
      </c>
      <c r="B1465" t="s">
        <v>2011</v>
      </c>
      <c r="C1465" t="s">
        <v>2022</v>
      </c>
      <c r="D1465">
        <v>100</v>
      </c>
      <c r="E1465" s="10" t="s">
        <v>11</v>
      </c>
      <c r="F1465" s="11">
        <v>20</v>
      </c>
      <c r="G1465">
        <v>100</v>
      </c>
      <c r="I1465" s="12"/>
      <c r="J1465" s="8"/>
      <c r="K1465" s="13"/>
    </row>
    <row r="1466" spans="1:11" x14ac:dyDescent="0.25">
      <c r="A1466" s="3" t="str">
        <f>"00603533721"</f>
        <v>00603533721</v>
      </c>
      <c r="B1466" s="3" t="s">
        <v>2011</v>
      </c>
      <c r="C1466" s="3" t="s">
        <v>2023</v>
      </c>
      <c r="D1466" s="3">
        <v>100</v>
      </c>
      <c r="E1466" s="4" t="s">
        <v>11</v>
      </c>
      <c r="F1466" s="5">
        <v>5</v>
      </c>
      <c r="G1466" s="3">
        <v>100</v>
      </c>
      <c r="I1466" s="7"/>
      <c r="J1466" s="8"/>
      <c r="K1466" s="9"/>
    </row>
    <row r="1467" spans="1:11" x14ac:dyDescent="0.25">
      <c r="A1467" t="str">
        <f>"00054872425"</f>
        <v>00054872425</v>
      </c>
      <c r="B1467" t="s">
        <v>2011</v>
      </c>
      <c r="C1467" t="s">
        <v>2024</v>
      </c>
      <c r="D1467">
        <v>100</v>
      </c>
      <c r="E1467" s="10" t="s">
        <v>11</v>
      </c>
      <c r="F1467" s="11">
        <v>5</v>
      </c>
      <c r="G1467">
        <v>100</v>
      </c>
      <c r="I1467" s="12"/>
      <c r="J1467" s="8"/>
      <c r="K1467" s="13"/>
    </row>
    <row r="1468" spans="1:11" x14ac:dyDescent="0.25">
      <c r="A1468" s="3" t="str">
        <f>"00603533732"</f>
        <v>00603533732</v>
      </c>
      <c r="B1468" s="3" t="s">
        <v>2011</v>
      </c>
      <c r="C1468" s="3" t="s">
        <v>2025</v>
      </c>
      <c r="D1468" s="3">
        <v>1000</v>
      </c>
      <c r="E1468" s="4" t="s">
        <v>11</v>
      </c>
      <c r="F1468" s="5">
        <v>5</v>
      </c>
      <c r="G1468" s="3">
        <v>1000</v>
      </c>
      <c r="I1468" s="7"/>
      <c r="J1468" s="8"/>
      <c r="K1468" s="9"/>
    </row>
    <row r="1469" spans="1:11" x14ac:dyDescent="0.25">
      <c r="A1469" t="str">
        <f>"00054001925"</f>
        <v>00054001925</v>
      </c>
      <c r="B1469" t="s">
        <v>2011</v>
      </c>
      <c r="C1469" t="s">
        <v>2026</v>
      </c>
      <c r="D1469">
        <v>100</v>
      </c>
      <c r="E1469" s="10" t="s">
        <v>11</v>
      </c>
      <c r="F1469" s="11">
        <v>50</v>
      </c>
      <c r="G1469">
        <v>100</v>
      </c>
      <c r="I1469" s="12"/>
      <c r="J1469" s="8"/>
      <c r="K1469" s="13"/>
    </row>
    <row r="1470" spans="1:11" x14ac:dyDescent="0.25">
      <c r="A1470" s="3" t="str">
        <f>"59746017106"</f>
        <v>59746017106</v>
      </c>
      <c r="B1470" s="3" t="s">
        <v>2011</v>
      </c>
      <c r="C1470" s="3" t="s">
        <v>2027</v>
      </c>
      <c r="D1470" s="3">
        <v>100</v>
      </c>
      <c r="E1470" s="4" t="s">
        <v>11</v>
      </c>
      <c r="F1470" s="5">
        <v>1</v>
      </c>
      <c r="G1470" s="3">
        <v>100</v>
      </c>
      <c r="I1470" s="7"/>
      <c r="J1470" s="8"/>
      <c r="K1470" s="9"/>
    </row>
    <row r="1471" spans="1:11" x14ac:dyDescent="0.25">
      <c r="A1471" t="str">
        <f>"00046110081"</f>
        <v>00046110081</v>
      </c>
      <c r="B1471" t="s">
        <v>2028</v>
      </c>
      <c r="C1471" t="s">
        <v>2029</v>
      </c>
      <c r="D1471">
        <v>100</v>
      </c>
      <c r="E1471" s="10" t="s">
        <v>11</v>
      </c>
      <c r="F1471" s="11">
        <v>0.3</v>
      </c>
      <c r="G1471">
        <v>100</v>
      </c>
      <c r="I1471" s="12"/>
      <c r="J1471" s="8"/>
      <c r="K1471" s="13"/>
    </row>
    <row r="1472" spans="1:11" x14ac:dyDescent="0.25">
      <c r="A1472" s="3" t="str">
        <f>"00046110181"</f>
        <v>00046110181</v>
      </c>
      <c r="B1472" s="3" t="s">
        <v>2028</v>
      </c>
      <c r="C1472" s="3" t="s">
        <v>2030</v>
      </c>
      <c r="D1472" s="3">
        <v>100</v>
      </c>
      <c r="E1472" s="4" t="s">
        <v>11</v>
      </c>
      <c r="F1472" s="5">
        <v>0.45</v>
      </c>
      <c r="G1472" s="3">
        <v>100</v>
      </c>
      <c r="I1472" s="7"/>
      <c r="J1472" s="8"/>
      <c r="K1472" s="9"/>
    </row>
    <row r="1473" spans="1:11" x14ac:dyDescent="0.25">
      <c r="A1473" t="str">
        <f>"00046110281"</f>
        <v>00046110281</v>
      </c>
      <c r="B1473" t="s">
        <v>2028</v>
      </c>
      <c r="C1473" t="s">
        <v>2031</v>
      </c>
      <c r="D1473">
        <v>100</v>
      </c>
      <c r="E1473" s="10" t="s">
        <v>2032</v>
      </c>
      <c r="G1473">
        <v>100</v>
      </c>
      <c r="I1473" s="12"/>
      <c r="J1473" s="8"/>
      <c r="K1473" s="13"/>
    </row>
    <row r="1474" spans="1:11" x14ac:dyDescent="0.25">
      <c r="A1474" s="3" t="str">
        <f>"00046110481"</f>
        <v>00046110481</v>
      </c>
      <c r="B1474" s="3" t="s">
        <v>2028</v>
      </c>
      <c r="C1474" s="3" t="s">
        <v>2033</v>
      </c>
      <c r="D1474" s="3">
        <v>100</v>
      </c>
      <c r="E1474" s="4" t="s">
        <v>11</v>
      </c>
      <c r="F1474" s="5">
        <v>1.25</v>
      </c>
      <c r="G1474" s="3">
        <v>100</v>
      </c>
      <c r="I1474" s="7"/>
      <c r="J1474" s="8"/>
      <c r="K1474" s="9"/>
    </row>
    <row r="1475" spans="1:11" x14ac:dyDescent="0.25">
      <c r="A1475" t="str">
        <f>"00046087221"</f>
        <v>00046087221</v>
      </c>
      <c r="B1475" t="s">
        <v>2028</v>
      </c>
      <c r="C1475" t="s">
        <v>2034</v>
      </c>
      <c r="D1475">
        <v>30</v>
      </c>
      <c r="E1475" s="10" t="s">
        <v>2032</v>
      </c>
      <c r="G1475">
        <v>30</v>
      </c>
      <c r="I1475" s="12"/>
      <c r="J1475" s="8"/>
      <c r="K1475" s="13"/>
    </row>
    <row r="1476" spans="1:11" x14ac:dyDescent="0.25">
      <c r="A1476" s="3" t="str">
        <f>"24208069762"</f>
        <v>24208069762</v>
      </c>
      <c r="B1476" s="3" t="s">
        <v>2035</v>
      </c>
      <c r="C1476" s="3" t="s">
        <v>2036</v>
      </c>
      <c r="D1476" s="3">
        <v>120</v>
      </c>
      <c r="E1476" s="4"/>
      <c r="F1476" s="5"/>
      <c r="G1476" s="3">
        <v>120</v>
      </c>
      <c r="I1476" s="7"/>
      <c r="J1476" s="8"/>
      <c r="K1476" s="9"/>
    </row>
    <row r="1477" spans="1:11" x14ac:dyDescent="0.25">
      <c r="A1477" t="str">
        <f>"24208043272"</f>
        <v>24208043272</v>
      </c>
      <c r="B1477" t="s">
        <v>2037</v>
      </c>
      <c r="C1477" t="s">
        <v>2038</v>
      </c>
      <c r="D1477">
        <v>240</v>
      </c>
      <c r="G1477">
        <v>240</v>
      </c>
      <c r="I1477" s="12"/>
      <c r="J1477" s="8"/>
      <c r="K1477" s="13"/>
    </row>
    <row r="1478" spans="1:11" x14ac:dyDescent="0.25">
      <c r="A1478" s="3" t="str">
        <f>"00245003660"</f>
        <v>00245003660</v>
      </c>
      <c r="B1478" s="3" t="s">
        <v>2039</v>
      </c>
      <c r="C1478" s="3" t="s">
        <v>2040</v>
      </c>
      <c r="D1478" s="3">
        <v>240</v>
      </c>
      <c r="E1478" s="4"/>
      <c r="F1478" s="5"/>
      <c r="G1478" s="3">
        <v>60</v>
      </c>
      <c r="I1478" s="7"/>
      <c r="J1478" s="8"/>
      <c r="K1478" s="9"/>
    </row>
    <row r="1479" spans="1:11" x14ac:dyDescent="0.25">
      <c r="A1479" t="str">
        <f>"00005197102"</f>
        <v>00005197102</v>
      </c>
      <c r="B1479" t="s">
        <v>2041</v>
      </c>
      <c r="C1479" t="s">
        <v>2042</v>
      </c>
      <c r="D1479">
        <v>5</v>
      </c>
      <c r="G1479">
        <v>0.5</v>
      </c>
      <c r="I1479" s="12"/>
      <c r="J1479" s="8"/>
      <c r="K1479" s="13"/>
    </row>
    <row r="1480" spans="1:11" x14ac:dyDescent="0.25">
      <c r="A1480" s="3" t="str">
        <f>"59676057530"</f>
        <v>59676057530</v>
      </c>
      <c r="B1480" s="3" t="s">
        <v>2043</v>
      </c>
      <c r="C1480" s="3" t="s">
        <v>2044</v>
      </c>
      <c r="D1480" s="3">
        <v>30</v>
      </c>
      <c r="E1480" s="4"/>
      <c r="F1480" s="5"/>
      <c r="G1480" s="3">
        <v>30</v>
      </c>
      <c r="I1480" s="7"/>
      <c r="J1480" s="8"/>
      <c r="K1480" s="9"/>
    </row>
    <row r="1481" spans="1:11" x14ac:dyDescent="0.25">
      <c r="A1481" t="str">
        <f>"59676056201"</f>
        <v>59676056201</v>
      </c>
      <c r="B1481" t="s">
        <v>2045</v>
      </c>
      <c r="C1481" t="s">
        <v>2046</v>
      </c>
      <c r="D1481">
        <v>60</v>
      </c>
      <c r="E1481" s="10" t="s">
        <v>11</v>
      </c>
      <c r="F1481" s="11">
        <v>600</v>
      </c>
      <c r="G1481">
        <v>60</v>
      </c>
      <c r="I1481" s="12"/>
      <c r="J1481" s="8"/>
      <c r="K1481" s="13"/>
    </row>
    <row r="1482" spans="1:11" x14ac:dyDescent="0.25">
      <c r="A1482" s="3" t="str">
        <f>"59676056630"</f>
        <v>59676056630</v>
      </c>
      <c r="B1482" s="3" t="s">
        <v>2045</v>
      </c>
      <c r="C1482" s="3" t="s">
        <v>2047</v>
      </c>
      <c r="D1482" s="3">
        <v>30</v>
      </c>
      <c r="E1482" s="4" t="s">
        <v>11</v>
      </c>
      <c r="F1482" s="5">
        <v>800</v>
      </c>
      <c r="G1482" s="3">
        <v>30</v>
      </c>
      <c r="I1482" s="7"/>
      <c r="J1482" s="8"/>
      <c r="K1482" s="9"/>
    </row>
    <row r="1483" spans="1:11" x14ac:dyDescent="0.25">
      <c r="A1483" t="str">
        <f>"00378015601"</f>
        <v>00378015601</v>
      </c>
      <c r="B1483" t="s">
        <v>2048</v>
      </c>
      <c r="C1483" t="s">
        <v>2049</v>
      </c>
      <c r="D1483">
        <v>100</v>
      </c>
      <c r="E1483" s="10" t="s">
        <v>11</v>
      </c>
      <c r="F1483" s="11">
        <v>500</v>
      </c>
      <c r="G1483">
        <v>100</v>
      </c>
      <c r="I1483" s="12"/>
      <c r="J1483" s="8"/>
      <c r="K1483" s="13"/>
    </row>
    <row r="1484" spans="1:11" x14ac:dyDescent="0.25">
      <c r="A1484" s="3" t="str">
        <f>"00536105907"</f>
        <v>00536105907</v>
      </c>
      <c r="B1484" s="3" t="s">
        <v>2050</v>
      </c>
      <c r="C1484" s="3" t="s">
        <v>2051</v>
      </c>
      <c r="D1484" s="3">
        <v>30</v>
      </c>
      <c r="E1484" s="4"/>
      <c r="F1484" s="5"/>
      <c r="G1484" s="3">
        <v>30</v>
      </c>
      <c r="I1484" s="7"/>
      <c r="J1484" s="8"/>
      <c r="K1484" s="9"/>
    </row>
    <row r="1485" spans="1:11" x14ac:dyDescent="0.25">
      <c r="A1485" t="str">
        <f>"59746011506"</f>
        <v>59746011506</v>
      </c>
      <c r="B1485" t="s">
        <v>2052</v>
      </c>
      <c r="C1485" t="s">
        <v>2053</v>
      </c>
      <c r="D1485">
        <v>100</v>
      </c>
      <c r="E1485" s="10" t="s">
        <v>11</v>
      </c>
      <c r="F1485" s="11">
        <v>10</v>
      </c>
      <c r="G1485">
        <v>100</v>
      </c>
      <c r="I1485" s="12"/>
      <c r="J1485" s="8"/>
      <c r="K1485" s="13"/>
    </row>
    <row r="1486" spans="1:11" x14ac:dyDescent="0.25">
      <c r="A1486" s="3" t="str">
        <f>"51079054220"</f>
        <v>51079054220</v>
      </c>
      <c r="B1486" s="3" t="s">
        <v>2052</v>
      </c>
      <c r="C1486" s="3" t="s">
        <v>2054</v>
      </c>
      <c r="D1486" s="3">
        <v>100</v>
      </c>
      <c r="E1486" s="4" t="s">
        <v>11</v>
      </c>
      <c r="F1486" s="5">
        <v>10</v>
      </c>
      <c r="G1486" s="3">
        <v>100</v>
      </c>
      <c r="I1486" s="7"/>
      <c r="J1486" s="8"/>
      <c r="K1486" s="9"/>
    </row>
    <row r="1487" spans="1:11" x14ac:dyDescent="0.25">
      <c r="A1487" t="str">
        <f>"51079054120"</f>
        <v>51079054120</v>
      </c>
      <c r="B1487" t="s">
        <v>2052</v>
      </c>
      <c r="C1487" t="s">
        <v>2055</v>
      </c>
      <c r="D1487">
        <v>100</v>
      </c>
      <c r="E1487" s="10" t="s">
        <v>11</v>
      </c>
      <c r="F1487" s="11">
        <v>5</v>
      </c>
      <c r="G1487">
        <v>100</v>
      </c>
      <c r="I1487" s="12"/>
      <c r="J1487" s="8"/>
      <c r="K1487" s="13"/>
    </row>
    <row r="1488" spans="1:11" x14ac:dyDescent="0.25">
      <c r="A1488" s="3" t="str">
        <f>"00641613525"</f>
        <v>00641613525</v>
      </c>
      <c r="B1488" s="3" t="s">
        <v>2056</v>
      </c>
      <c r="C1488" s="3" t="s">
        <v>2057</v>
      </c>
      <c r="D1488" s="3">
        <v>50</v>
      </c>
      <c r="E1488" s="4" t="s">
        <v>2058</v>
      </c>
      <c r="F1488" s="5">
        <v>10</v>
      </c>
      <c r="G1488" s="3">
        <v>2</v>
      </c>
      <c r="I1488" s="7"/>
      <c r="J1488" s="8"/>
      <c r="K1488" s="9"/>
    </row>
    <row r="1489" spans="1:11" x14ac:dyDescent="0.25">
      <c r="A1489" t="str">
        <f>"59676031204"</f>
        <v>59676031204</v>
      </c>
      <c r="B1489" t="s">
        <v>2059</v>
      </c>
      <c r="C1489" t="s">
        <v>2060</v>
      </c>
      <c r="D1489">
        <v>8</v>
      </c>
      <c r="E1489" s="10" t="s">
        <v>1122</v>
      </c>
      <c r="F1489" s="11" t="s">
        <v>2061</v>
      </c>
      <c r="G1489">
        <v>2</v>
      </c>
      <c r="I1489" s="12"/>
      <c r="J1489" s="8"/>
      <c r="K1489" s="13"/>
    </row>
    <row r="1490" spans="1:11" x14ac:dyDescent="0.25">
      <c r="A1490" s="3" t="str">
        <f>"59676031001"</f>
        <v>59676031001</v>
      </c>
      <c r="B1490" s="3" t="s">
        <v>2059</v>
      </c>
      <c r="C1490" s="3" t="s">
        <v>2062</v>
      </c>
      <c r="D1490" s="3">
        <v>6</v>
      </c>
      <c r="E1490" s="4" t="s">
        <v>1122</v>
      </c>
      <c r="F1490" s="5" t="s">
        <v>2061</v>
      </c>
      <c r="G1490" s="3">
        <v>1</v>
      </c>
      <c r="I1490" s="7"/>
      <c r="J1490" s="8"/>
      <c r="K1490" s="9"/>
    </row>
    <row r="1491" spans="1:11" x14ac:dyDescent="0.25">
      <c r="A1491" t="str">
        <f>"59676032004"</f>
        <v>59676032004</v>
      </c>
      <c r="B1491" t="s">
        <v>2059</v>
      </c>
      <c r="C1491" t="s">
        <v>2063</v>
      </c>
      <c r="D1491">
        <v>4</v>
      </c>
      <c r="E1491" s="10" t="s">
        <v>1122</v>
      </c>
      <c r="F1491" s="11" t="s">
        <v>2064</v>
      </c>
      <c r="G1491">
        <v>1</v>
      </c>
      <c r="I1491" s="12"/>
      <c r="J1491" s="8"/>
      <c r="K1491" s="13"/>
    </row>
    <row r="1492" spans="1:11" x14ac:dyDescent="0.25">
      <c r="A1492" s="3" t="str">
        <f>"59676030201"</f>
        <v>59676030201</v>
      </c>
      <c r="B1492" s="3" t="s">
        <v>2059</v>
      </c>
      <c r="C1492" s="3" t="s">
        <v>2065</v>
      </c>
      <c r="D1492" s="3">
        <v>6</v>
      </c>
      <c r="E1492" s="4" t="s">
        <v>1122</v>
      </c>
      <c r="F1492" s="5" t="s">
        <v>2066</v>
      </c>
      <c r="G1492" s="3">
        <v>1</v>
      </c>
      <c r="I1492" s="7"/>
      <c r="J1492" s="8"/>
      <c r="K1492" s="9"/>
    </row>
    <row r="1493" spans="1:11" x14ac:dyDescent="0.25">
      <c r="A1493" t="str">
        <f>"59676030301"</f>
        <v>59676030301</v>
      </c>
      <c r="B1493" t="s">
        <v>2059</v>
      </c>
      <c r="C1493" t="s">
        <v>2067</v>
      </c>
      <c r="D1493">
        <v>6</v>
      </c>
      <c r="E1493" s="10" t="s">
        <v>1122</v>
      </c>
      <c r="F1493" s="11" t="s">
        <v>2068</v>
      </c>
      <c r="G1493">
        <v>1</v>
      </c>
      <c r="I1493" s="12"/>
      <c r="J1493" s="8"/>
      <c r="K1493" s="13"/>
    </row>
    <row r="1494" spans="1:11" x14ac:dyDescent="0.25">
      <c r="A1494" s="3" t="str">
        <f>"10631040701"</f>
        <v>10631040701</v>
      </c>
      <c r="B1494" s="3" t="s">
        <v>608</v>
      </c>
      <c r="C1494" s="3" t="s">
        <v>2069</v>
      </c>
      <c r="D1494" s="3">
        <v>1</v>
      </c>
      <c r="E1494" s="4" t="s">
        <v>43</v>
      </c>
      <c r="F1494" s="5">
        <v>2.5</v>
      </c>
      <c r="G1494" s="3">
        <v>28.35</v>
      </c>
      <c r="I1494" s="7"/>
      <c r="J1494" s="8"/>
      <c r="K1494" s="9"/>
    </row>
    <row r="1495" spans="1:11" x14ac:dyDescent="0.25">
      <c r="A1495" t="str">
        <f>"64980030130"</f>
        <v>64980030130</v>
      </c>
      <c r="B1495" t="s">
        <v>608</v>
      </c>
      <c r="C1495" t="s">
        <v>2070</v>
      </c>
      <c r="D1495">
        <v>30</v>
      </c>
      <c r="E1495" s="10" t="s">
        <v>43</v>
      </c>
      <c r="F1495" s="11">
        <v>2.5</v>
      </c>
      <c r="G1495">
        <v>30</v>
      </c>
      <c r="I1495" s="12"/>
      <c r="J1495" s="8"/>
      <c r="K1495" s="13"/>
    </row>
    <row r="1496" spans="1:11" x14ac:dyDescent="0.25">
      <c r="A1496" s="3" t="str">
        <f>"64980032430"</f>
        <v>64980032430</v>
      </c>
      <c r="B1496" s="3" t="s">
        <v>608</v>
      </c>
      <c r="C1496" s="3" t="s">
        <v>2071</v>
      </c>
      <c r="D1496" s="3">
        <v>30</v>
      </c>
      <c r="E1496" s="4" t="s">
        <v>43</v>
      </c>
      <c r="F1496" s="5">
        <v>2.5</v>
      </c>
      <c r="G1496" s="3">
        <v>30</v>
      </c>
      <c r="I1496" s="7"/>
      <c r="J1496" s="8"/>
      <c r="K1496" s="9"/>
    </row>
    <row r="1497" spans="1:11" x14ac:dyDescent="0.25">
      <c r="A1497" t="str">
        <f>"17478076610"</f>
        <v>17478076610</v>
      </c>
      <c r="B1497" t="s">
        <v>2072</v>
      </c>
      <c r="C1497" t="s">
        <v>2073</v>
      </c>
      <c r="D1497">
        <v>100</v>
      </c>
      <c r="E1497" s="10" t="s">
        <v>11</v>
      </c>
      <c r="F1497" s="11">
        <v>100</v>
      </c>
      <c r="G1497">
        <v>100</v>
      </c>
      <c r="I1497" s="12"/>
      <c r="J1497" s="8"/>
      <c r="K1497" s="13"/>
    </row>
    <row r="1498" spans="1:11" x14ac:dyDescent="0.25">
      <c r="A1498" s="3" t="str">
        <f>"69387010201"</f>
        <v>69387010201</v>
      </c>
      <c r="B1498" s="3" t="s">
        <v>2072</v>
      </c>
      <c r="C1498" s="3" t="s">
        <v>2074</v>
      </c>
      <c r="D1498" s="3">
        <v>100</v>
      </c>
      <c r="E1498" s="4" t="s">
        <v>11</v>
      </c>
      <c r="F1498" s="5">
        <v>200</v>
      </c>
      <c r="G1498" s="3">
        <v>100</v>
      </c>
      <c r="I1498" s="7"/>
      <c r="J1498" s="8"/>
      <c r="K1498" s="9"/>
    </row>
    <row r="1499" spans="1:11" x14ac:dyDescent="0.25">
      <c r="A1499" t="str">
        <f>"24208060203"</f>
        <v>24208060203</v>
      </c>
      <c r="B1499" t="s">
        <v>2075</v>
      </c>
      <c r="C1499" t="s">
        <v>2076</v>
      </c>
      <c r="D1499">
        <v>3</v>
      </c>
      <c r="E1499" s="10" t="s">
        <v>43</v>
      </c>
      <c r="F1499" s="11">
        <v>7.0000000000000007E-2</v>
      </c>
      <c r="G1499">
        <v>3</v>
      </c>
      <c r="I1499" s="12"/>
      <c r="J1499" s="8"/>
      <c r="K1499" s="13"/>
    </row>
    <row r="1500" spans="1:11" x14ac:dyDescent="0.25">
      <c r="A1500" s="3" t="str">
        <f>"68382004101"</f>
        <v>68382004101</v>
      </c>
      <c r="B1500" s="3" t="s">
        <v>2077</v>
      </c>
      <c r="C1500" s="3" t="s">
        <v>2078</v>
      </c>
      <c r="D1500" s="3">
        <v>100</v>
      </c>
      <c r="E1500" s="4" t="s">
        <v>11</v>
      </c>
      <c r="F1500" s="5">
        <v>25</v>
      </c>
      <c r="G1500" s="3">
        <v>100</v>
      </c>
      <c r="I1500" s="7"/>
      <c r="J1500" s="8"/>
      <c r="K1500" s="9"/>
    </row>
    <row r="1501" spans="1:11" x14ac:dyDescent="0.25">
      <c r="A1501" t="str">
        <f>"68084015501"</f>
        <v>68084015501</v>
      </c>
      <c r="B1501" t="s">
        <v>2077</v>
      </c>
      <c r="C1501" t="s">
        <v>2079</v>
      </c>
      <c r="D1501">
        <v>100</v>
      </c>
      <c r="E1501" s="10" t="s">
        <v>11</v>
      </c>
      <c r="F1501" s="11">
        <v>25</v>
      </c>
      <c r="G1501">
        <v>100</v>
      </c>
      <c r="I1501" s="12"/>
      <c r="J1501" s="8"/>
      <c r="K1501" s="13"/>
    </row>
    <row r="1502" spans="1:11" x14ac:dyDescent="0.25">
      <c r="A1502" s="3" t="str">
        <f>"00641149535"</f>
        <v>00641149535</v>
      </c>
      <c r="B1502" s="3" t="s">
        <v>2077</v>
      </c>
      <c r="C1502" s="3" t="s">
        <v>2080</v>
      </c>
      <c r="D1502" s="3">
        <v>25</v>
      </c>
      <c r="E1502" s="4" t="s">
        <v>20</v>
      </c>
      <c r="F1502" s="5">
        <v>25</v>
      </c>
      <c r="G1502" s="3">
        <v>1</v>
      </c>
      <c r="I1502" s="7"/>
      <c r="J1502" s="8"/>
      <c r="K1502" s="9"/>
    </row>
    <row r="1503" spans="1:11" x14ac:dyDescent="0.25">
      <c r="A1503" t="str">
        <f>"00641092825"</f>
        <v>00641092825</v>
      </c>
      <c r="B1503" t="s">
        <v>2077</v>
      </c>
      <c r="C1503" t="s">
        <v>2081</v>
      </c>
      <c r="D1503">
        <v>25</v>
      </c>
      <c r="E1503" s="10" t="s">
        <v>20</v>
      </c>
      <c r="F1503" s="11">
        <v>25</v>
      </c>
      <c r="G1503">
        <v>1</v>
      </c>
      <c r="I1503" s="12"/>
      <c r="J1503" s="8"/>
      <c r="K1503" s="13"/>
    </row>
    <row r="1504" spans="1:11" x14ac:dyDescent="0.25">
      <c r="A1504" s="3" t="str">
        <f>"00591299239"</f>
        <v>00591299239</v>
      </c>
      <c r="B1504" s="3" t="s">
        <v>2077</v>
      </c>
      <c r="C1504" s="3" t="s">
        <v>2082</v>
      </c>
      <c r="D1504" s="3">
        <v>12</v>
      </c>
      <c r="E1504" s="4" t="s">
        <v>2083</v>
      </c>
      <c r="F1504" s="5" t="s">
        <v>1827</v>
      </c>
      <c r="G1504" s="3">
        <v>12</v>
      </c>
      <c r="I1504" s="7"/>
      <c r="J1504" s="8"/>
      <c r="K1504" s="9"/>
    </row>
    <row r="1505" spans="1:11" x14ac:dyDescent="0.25">
      <c r="A1505" t="str">
        <f>"00713052612"</f>
        <v>00713052612</v>
      </c>
      <c r="B1505" t="s">
        <v>2077</v>
      </c>
      <c r="C1505" t="s">
        <v>2084</v>
      </c>
      <c r="D1505">
        <v>12</v>
      </c>
      <c r="E1505" s="10" t="s">
        <v>11</v>
      </c>
      <c r="F1505" s="11">
        <v>25</v>
      </c>
      <c r="G1505">
        <v>12</v>
      </c>
      <c r="I1505" s="12"/>
      <c r="J1505" s="8"/>
      <c r="K1505" s="13"/>
    </row>
    <row r="1506" spans="1:11" x14ac:dyDescent="0.25">
      <c r="A1506" s="3" t="str">
        <f>"17478026312"</f>
        <v>17478026312</v>
      </c>
      <c r="B1506" s="3" t="s">
        <v>2085</v>
      </c>
      <c r="C1506" s="3" t="s">
        <v>2086</v>
      </c>
      <c r="D1506" s="3">
        <v>15</v>
      </c>
      <c r="E1506" s="4" t="s">
        <v>43</v>
      </c>
      <c r="F1506" s="5">
        <v>0.5</v>
      </c>
      <c r="G1506" s="3">
        <v>15</v>
      </c>
      <c r="I1506" s="7"/>
      <c r="J1506" s="8"/>
      <c r="K1506" s="9"/>
    </row>
    <row r="1507" spans="1:11" x14ac:dyDescent="0.25">
      <c r="A1507" t="str">
        <f>"00591555401"</f>
        <v>00591555401</v>
      </c>
      <c r="B1507" t="s">
        <v>2087</v>
      </c>
      <c r="C1507" t="s">
        <v>2088</v>
      </c>
      <c r="D1507">
        <v>100</v>
      </c>
      <c r="E1507" s="10" t="s">
        <v>11</v>
      </c>
      <c r="F1507" s="11">
        <v>10</v>
      </c>
      <c r="G1507">
        <v>100</v>
      </c>
      <c r="I1507" s="12"/>
      <c r="J1507" s="8"/>
      <c r="K1507" s="13"/>
    </row>
    <row r="1508" spans="1:11" x14ac:dyDescent="0.25">
      <c r="A1508" s="3" t="str">
        <f>"00591555410"</f>
        <v>00591555410</v>
      </c>
      <c r="B1508" s="3" t="s">
        <v>2087</v>
      </c>
      <c r="C1508" s="3" t="s">
        <v>2089</v>
      </c>
      <c r="D1508" s="3">
        <v>1000</v>
      </c>
      <c r="E1508" s="4" t="s">
        <v>11</v>
      </c>
      <c r="F1508" s="5">
        <v>10</v>
      </c>
      <c r="G1508" s="3">
        <v>1000</v>
      </c>
      <c r="I1508" s="7"/>
      <c r="J1508" s="8"/>
      <c r="K1508" s="9"/>
    </row>
    <row r="1509" spans="1:11" x14ac:dyDescent="0.25">
      <c r="A1509" t="str">
        <f>"00591555501"</f>
        <v>00591555501</v>
      </c>
      <c r="B1509" t="s">
        <v>2087</v>
      </c>
      <c r="C1509" t="s">
        <v>2090</v>
      </c>
      <c r="D1509">
        <v>100</v>
      </c>
      <c r="E1509" s="10" t="s">
        <v>11</v>
      </c>
      <c r="F1509" s="11">
        <v>20</v>
      </c>
      <c r="G1509">
        <v>100</v>
      </c>
      <c r="I1509" s="12"/>
      <c r="J1509" s="8"/>
      <c r="K1509" s="13"/>
    </row>
    <row r="1510" spans="1:11" x14ac:dyDescent="0.25">
      <c r="A1510" s="3" t="str">
        <f>"00591555510"</f>
        <v>00591555510</v>
      </c>
      <c r="B1510" s="3" t="s">
        <v>2087</v>
      </c>
      <c r="C1510" s="3" t="s">
        <v>2091</v>
      </c>
      <c r="D1510" s="3">
        <v>1000</v>
      </c>
      <c r="E1510" s="4" t="s">
        <v>11</v>
      </c>
      <c r="F1510" s="5">
        <v>20</v>
      </c>
      <c r="G1510" s="3">
        <v>1000</v>
      </c>
      <c r="I1510" s="7"/>
      <c r="J1510" s="8"/>
      <c r="K1510" s="9"/>
    </row>
    <row r="1511" spans="1:11" x14ac:dyDescent="0.25">
      <c r="A1511" t="str">
        <f>"00591555601"</f>
        <v>00591555601</v>
      </c>
      <c r="B1511" t="s">
        <v>2087</v>
      </c>
      <c r="C1511" t="s">
        <v>2092</v>
      </c>
      <c r="D1511">
        <v>100</v>
      </c>
      <c r="E1511" s="10" t="s">
        <v>11</v>
      </c>
      <c r="F1511" s="11">
        <v>40</v>
      </c>
      <c r="G1511">
        <v>100</v>
      </c>
      <c r="I1511" s="12"/>
      <c r="J1511" s="8"/>
      <c r="K1511" s="13"/>
    </row>
    <row r="1512" spans="1:11" x14ac:dyDescent="0.25">
      <c r="A1512" s="3" t="str">
        <f>"50111047001"</f>
        <v>50111047001</v>
      </c>
      <c r="B1512" s="3" t="s">
        <v>2087</v>
      </c>
      <c r="C1512" s="3" t="s">
        <v>2093</v>
      </c>
      <c r="D1512" s="3">
        <v>100</v>
      </c>
      <c r="E1512" s="4" t="s">
        <v>11</v>
      </c>
      <c r="F1512" s="5">
        <v>60</v>
      </c>
      <c r="G1512" s="3">
        <v>100</v>
      </c>
      <c r="I1512" s="7"/>
      <c r="J1512" s="8"/>
      <c r="K1512" s="9"/>
    </row>
    <row r="1513" spans="1:11" x14ac:dyDescent="0.25">
      <c r="A1513" t="str">
        <f>"00603548521"</f>
        <v>00603548521</v>
      </c>
      <c r="B1513" t="s">
        <v>2087</v>
      </c>
      <c r="C1513" t="s">
        <v>2093</v>
      </c>
      <c r="D1513">
        <v>100</v>
      </c>
      <c r="E1513" s="10" t="s">
        <v>11</v>
      </c>
      <c r="F1513" s="11">
        <v>60</v>
      </c>
      <c r="G1513">
        <v>100</v>
      </c>
      <c r="I1513" s="12"/>
      <c r="J1513" s="8"/>
      <c r="K1513" s="13"/>
    </row>
    <row r="1514" spans="1:11" x14ac:dyDescent="0.25">
      <c r="A1514" s="3" t="str">
        <f>"00245008511"</f>
        <v>00245008511</v>
      </c>
      <c r="B1514" s="3" t="s">
        <v>2087</v>
      </c>
      <c r="C1514" s="3" t="s">
        <v>2094</v>
      </c>
      <c r="D1514" s="3">
        <v>100</v>
      </c>
      <c r="E1514" s="4" t="s">
        <v>33</v>
      </c>
      <c r="F1514" s="5">
        <v>80</v>
      </c>
      <c r="G1514" s="3">
        <v>100</v>
      </c>
      <c r="I1514" s="7"/>
      <c r="J1514" s="8"/>
      <c r="K1514" s="9"/>
    </row>
    <row r="1515" spans="1:11" x14ac:dyDescent="0.25">
      <c r="A1515" t="str">
        <f>"50111047101"</f>
        <v>50111047101</v>
      </c>
      <c r="B1515" t="s">
        <v>2087</v>
      </c>
      <c r="C1515" t="s">
        <v>2095</v>
      </c>
      <c r="D1515">
        <v>100</v>
      </c>
      <c r="E1515" s="10" t="s">
        <v>11</v>
      </c>
      <c r="F1515" s="11">
        <v>80</v>
      </c>
      <c r="G1515">
        <v>100</v>
      </c>
      <c r="I1515" s="12"/>
      <c r="J1515" s="8"/>
      <c r="K1515" s="13"/>
    </row>
    <row r="1516" spans="1:11" x14ac:dyDescent="0.25">
      <c r="A1516" s="3" t="str">
        <f>"00603548621"</f>
        <v>00603548621</v>
      </c>
      <c r="B1516" s="3" t="s">
        <v>2087</v>
      </c>
      <c r="C1516" s="3" t="s">
        <v>2095</v>
      </c>
      <c r="D1516" s="3">
        <v>100</v>
      </c>
      <c r="E1516" s="4" t="s">
        <v>11</v>
      </c>
      <c r="F1516" s="5">
        <v>80</v>
      </c>
      <c r="G1516" s="3">
        <v>100</v>
      </c>
      <c r="I1516" s="7"/>
      <c r="J1516" s="8"/>
      <c r="K1516" s="9"/>
    </row>
    <row r="1517" spans="1:11" x14ac:dyDescent="0.25">
      <c r="A1517" t="str">
        <f>"00591555705"</f>
        <v>00591555705</v>
      </c>
      <c r="B1517" t="s">
        <v>2087</v>
      </c>
      <c r="C1517" t="s">
        <v>2097</v>
      </c>
      <c r="D1517">
        <v>500</v>
      </c>
      <c r="E1517" s="10" t="s">
        <v>11</v>
      </c>
      <c r="F1517" s="11">
        <v>80</v>
      </c>
      <c r="G1517">
        <v>500</v>
      </c>
      <c r="I1517" s="12"/>
      <c r="J1517" s="8"/>
      <c r="K1517" s="13"/>
    </row>
    <row r="1518" spans="1:11" x14ac:dyDescent="0.25">
      <c r="A1518" s="3" t="str">
        <f>"51991081701"</f>
        <v>51991081701</v>
      </c>
      <c r="B1518" s="3" t="s">
        <v>2087</v>
      </c>
      <c r="C1518" s="3" t="s">
        <v>2096</v>
      </c>
      <c r="D1518" s="3">
        <v>100</v>
      </c>
      <c r="E1518" s="4" t="s">
        <v>33</v>
      </c>
      <c r="F1518" s="5">
        <v>60</v>
      </c>
      <c r="G1518" s="3">
        <v>100</v>
      </c>
      <c r="I1518" s="7"/>
      <c r="J1518" s="8"/>
      <c r="K1518" s="9"/>
    </row>
    <row r="1519" spans="1:11" x14ac:dyDescent="0.25">
      <c r="A1519" t="str">
        <f>"51991081801"</f>
        <v>51991081801</v>
      </c>
      <c r="B1519" t="s">
        <v>2087</v>
      </c>
      <c r="C1519" t="s">
        <v>2098</v>
      </c>
      <c r="D1519">
        <v>100</v>
      </c>
      <c r="E1519" s="10" t="s">
        <v>33</v>
      </c>
      <c r="F1519" s="11">
        <v>80</v>
      </c>
      <c r="G1519">
        <v>100</v>
      </c>
      <c r="I1519" s="12"/>
      <c r="J1519" s="8"/>
      <c r="K1519" s="13"/>
    </row>
    <row r="1520" spans="1:11" x14ac:dyDescent="0.25">
      <c r="A1520" s="3" t="str">
        <f>"00904655061"</f>
        <v>00904655061</v>
      </c>
      <c r="B1520" s="3" t="s">
        <v>2087</v>
      </c>
      <c r="C1520" s="3" t="s">
        <v>2099</v>
      </c>
      <c r="D1520" s="3">
        <v>100</v>
      </c>
      <c r="E1520" s="4" t="s">
        <v>11</v>
      </c>
      <c r="F1520" s="5">
        <v>10</v>
      </c>
      <c r="G1520" s="3">
        <v>100</v>
      </c>
      <c r="I1520" s="7"/>
      <c r="J1520" s="8"/>
      <c r="K1520" s="9"/>
    </row>
    <row r="1521" spans="1:11" x14ac:dyDescent="0.25">
      <c r="A1521" t="str">
        <f>"00115166201"</f>
        <v>00115166201</v>
      </c>
      <c r="B1521" t="s">
        <v>2087</v>
      </c>
      <c r="C1521" t="s">
        <v>2100</v>
      </c>
      <c r="D1521">
        <v>100</v>
      </c>
      <c r="E1521" s="10" t="s">
        <v>11</v>
      </c>
      <c r="F1521" s="11">
        <v>80</v>
      </c>
      <c r="G1521">
        <v>100</v>
      </c>
      <c r="I1521" s="12"/>
      <c r="J1521" s="8"/>
      <c r="K1521" s="13"/>
    </row>
    <row r="1522" spans="1:11" x14ac:dyDescent="0.25">
      <c r="A1522" s="3" t="str">
        <f>"67253065110"</f>
        <v>67253065110</v>
      </c>
      <c r="B1522" s="3" t="s">
        <v>2101</v>
      </c>
      <c r="C1522" s="3" t="s">
        <v>2102</v>
      </c>
      <c r="D1522" s="3">
        <v>100</v>
      </c>
      <c r="E1522" s="4" t="s">
        <v>11</v>
      </c>
      <c r="F1522" s="5">
        <v>50</v>
      </c>
      <c r="G1522" s="3">
        <v>100</v>
      </c>
      <c r="I1522" s="7"/>
      <c r="J1522" s="8"/>
      <c r="K1522" s="9"/>
    </row>
    <row r="1523" spans="1:11" x14ac:dyDescent="0.25">
      <c r="A1523" t="str">
        <f>"75834010101"</f>
        <v>75834010101</v>
      </c>
      <c r="B1523" t="s">
        <v>2103</v>
      </c>
      <c r="C1523" t="s">
        <v>2104</v>
      </c>
      <c r="D1523">
        <v>100</v>
      </c>
      <c r="E1523" s="10" t="s">
        <v>43</v>
      </c>
      <c r="F1523" s="11">
        <v>2</v>
      </c>
      <c r="G1523">
        <v>100</v>
      </c>
      <c r="I1523" s="12"/>
      <c r="J1523" s="8"/>
      <c r="K1523" s="13"/>
    </row>
    <row r="1524" spans="1:11" x14ac:dyDescent="0.25">
      <c r="A1524" s="3" t="str">
        <f>"50242010040"</f>
        <v>50242010040</v>
      </c>
      <c r="B1524" s="3" t="s">
        <v>2105</v>
      </c>
      <c r="C1524" s="3" t="s">
        <v>2106</v>
      </c>
      <c r="D1524" s="3">
        <v>75</v>
      </c>
      <c r="E1524" s="4"/>
      <c r="F1524" s="5"/>
      <c r="G1524" s="3">
        <v>2.5</v>
      </c>
      <c r="I1524" s="7"/>
      <c r="J1524" s="8"/>
      <c r="K1524" s="9"/>
    </row>
    <row r="1525" spans="1:11" x14ac:dyDescent="0.25">
      <c r="B1525" t="s">
        <v>2107</v>
      </c>
      <c r="C1525" t="s">
        <v>2107</v>
      </c>
      <c r="G1525">
        <v>0</v>
      </c>
      <c r="I1525" s="12"/>
      <c r="J1525" s="8"/>
      <c r="K1525" s="13"/>
    </row>
    <row r="1526" spans="1:11" x14ac:dyDescent="0.25">
      <c r="A1526" s="3"/>
      <c r="B1526" s="3" t="s">
        <v>2107</v>
      </c>
      <c r="C1526" s="3" t="s">
        <v>2107</v>
      </c>
      <c r="D1526" s="3"/>
      <c r="E1526" s="4"/>
      <c r="F1526" s="5"/>
      <c r="G1526" s="3"/>
      <c r="I1526" s="7"/>
      <c r="J1526" s="8"/>
      <c r="K1526" s="9"/>
    </row>
    <row r="1527" spans="1:11" x14ac:dyDescent="0.25">
      <c r="B1527" t="s">
        <v>2107</v>
      </c>
      <c r="C1527" t="s">
        <v>2107</v>
      </c>
      <c r="I1527" s="12"/>
      <c r="J1527" s="8"/>
      <c r="K1527" s="13"/>
    </row>
    <row r="1528" spans="1:11" x14ac:dyDescent="0.25">
      <c r="A1528" s="3"/>
      <c r="B1528" s="3" t="s">
        <v>2107</v>
      </c>
      <c r="C1528" s="3" t="s">
        <v>2107</v>
      </c>
      <c r="D1528" s="3"/>
      <c r="E1528" s="4"/>
      <c r="F1528" s="5"/>
      <c r="G1528" s="3"/>
      <c r="I1528" s="7"/>
      <c r="J1528" s="8"/>
      <c r="K1528" s="9"/>
    </row>
    <row r="1529" spans="1:11" x14ac:dyDescent="0.25">
      <c r="B1529" t="s">
        <v>2107</v>
      </c>
      <c r="C1529" t="s">
        <v>2107</v>
      </c>
      <c r="I1529" s="12"/>
      <c r="J1529" s="8"/>
      <c r="K1529" s="13"/>
    </row>
    <row r="1530" spans="1:11" x14ac:dyDescent="0.25">
      <c r="A1530" s="3"/>
      <c r="B1530" s="3" t="s">
        <v>2107</v>
      </c>
      <c r="C1530" s="3" t="s">
        <v>2107</v>
      </c>
      <c r="D1530" s="3"/>
      <c r="E1530" s="4"/>
      <c r="F1530" s="5"/>
      <c r="G1530" s="3"/>
      <c r="I1530" s="7"/>
      <c r="J1530" s="8"/>
      <c r="K1530" s="9"/>
    </row>
    <row r="1531" spans="1:11" x14ac:dyDescent="0.25">
      <c r="B1531" t="s">
        <v>2107</v>
      </c>
      <c r="C1531" t="s">
        <v>2107</v>
      </c>
      <c r="I1531" s="12"/>
      <c r="J1531" s="8"/>
      <c r="K1531" s="13"/>
    </row>
    <row r="1532" spans="1:11" x14ac:dyDescent="0.25">
      <c r="A1532" s="3" t="str">
        <f>"00115351101"</f>
        <v>00115351101</v>
      </c>
      <c r="B1532" s="3" t="s">
        <v>2108</v>
      </c>
      <c r="C1532" s="3" t="s">
        <v>2109</v>
      </c>
      <c r="D1532" s="3">
        <v>100</v>
      </c>
      <c r="E1532" s="4" t="s">
        <v>11</v>
      </c>
      <c r="F1532" s="5">
        <v>60</v>
      </c>
      <c r="G1532" s="3">
        <v>100</v>
      </c>
      <c r="I1532" s="7"/>
      <c r="J1532" s="8"/>
      <c r="K1532" s="9"/>
    </row>
    <row r="1533" spans="1:11" x14ac:dyDescent="0.25">
      <c r="A1533" t="str">
        <f>"61748009230"</f>
        <v>61748009230</v>
      </c>
      <c r="B1533" t="s">
        <v>2110</v>
      </c>
      <c r="C1533" t="s">
        <v>2111</v>
      </c>
      <c r="D1533">
        <v>30</v>
      </c>
      <c r="G1533">
        <v>30</v>
      </c>
      <c r="I1533" s="12"/>
      <c r="J1533" s="8"/>
      <c r="K1533" s="13"/>
    </row>
    <row r="1534" spans="1:11" x14ac:dyDescent="0.25">
      <c r="A1534" s="3" t="str">
        <f>"00603082358"</f>
        <v>00603082358</v>
      </c>
      <c r="B1534" s="3" t="s">
        <v>276</v>
      </c>
      <c r="C1534" s="3" t="s">
        <v>2112</v>
      </c>
      <c r="D1534" s="3">
        <v>16</v>
      </c>
      <c r="E1534" s="4" t="s">
        <v>438</v>
      </c>
      <c r="F1534" s="5">
        <v>12.5</v>
      </c>
      <c r="G1534" s="3">
        <v>473</v>
      </c>
      <c r="I1534" s="7"/>
      <c r="J1534" s="8"/>
      <c r="K1534" s="9"/>
    </row>
    <row r="1535" spans="1:11" x14ac:dyDescent="0.25">
      <c r="A1535" t="str">
        <f>"68084053301"</f>
        <v>68084053301</v>
      </c>
      <c r="B1535" t="s">
        <v>2113</v>
      </c>
      <c r="C1535" t="s">
        <v>2114</v>
      </c>
      <c r="D1535">
        <v>100</v>
      </c>
      <c r="E1535" s="10" t="s">
        <v>11</v>
      </c>
      <c r="F1535" s="11">
        <v>200</v>
      </c>
      <c r="G1535">
        <v>100</v>
      </c>
      <c r="I1535" s="12"/>
      <c r="J1535" s="8"/>
      <c r="K1535" s="13"/>
    </row>
    <row r="1536" spans="1:11" x14ac:dyDescent="0.25">
      <c r="A1536" s="3" t="str">
        <f>"68084053401"</f>
        <v>68084053401</v>
      </c>
      <c r="B1536" s="3" t="s">
        <v>2113</v>
      </c>
      <c r="C1536" s="3" t="s">
        <v>2115</v>
      </c>
      <c r="D1536" s="3">
        <v>100</v>
      </c>
      <c r="E1536" s="4" t="s">
        <v>11</v>
      </c>
      <c r="F1536" s="5">
        <v>300</v>
      </c>
      <c r="G1536" s="3">
        <v>100</v>
      </c>
      <c r="I1536" s="7"/>
      <c r="J1536" s="8"/>
      <c r="K1536" s="9"/>
    </row>
    <row r="1537" spans="1:11" x14ac:dyDescent="0.25">
      <c r="A1537" t="str">
        <f>"68180044703"</f>
        <v>68180044703</v>
      </c>
      <c r="B1537" t="s">
        <v>2113</v>
      </c>
      <c r="C1537" t="s">
        <v>2116</v>
      </c>
      <c r="D1537">
        <v>1000</v>
      </c>
      <c r="E1537" s="10" t="s">
        <v>11</v>
      </c>
      <c r="F1537" s="11">
        <v>100</v>
      </c>
      <c r="G1537">
        <v>1000</v>
      </c>
      <c r="I1537" s="12"/>
      <c r="J1537" s="8"/>
      <c r="K1537" s="13"/>
    </row>
    <row r="1538" spans="1:11" x14ac:dyDescent="0.25">
      <c r="A1538" s="3" t="str">
        <f>"68180044501"</f>
        <v>68180044501</v>
      </c>
      <c r="B1538" s="3" t="s">
        <v>2113</v>
      </c>
      <c r="C1538" s="3" t="s">
        <v>2117</v>
      </c>
      <c r="D1538" s="3">
        <v>100</v>
      </c>
      <c r="E1538" s="4" t="s">
        <v>11</v>
      </c>
      <c r="F1538" s="5">
        <v>25</v>
      </c>
      <c r="G1538" s="3">
        <v>100</v>
      </c>
      <c r="I1538" s="7"/>
      <c r="J1538" s="8"/>
      <c r="K1538" s="9"/>
    </row>
    <row r="1539" spans="1:11" x14ac:dyDescent="0.25">
      <c r="A1539" t="str">
        <f>"68084053001"</f>
        <v>68084053001</v>
      </c>
      <c r="B1539" t="s">
        <v>2113</v>
      </c>
      <c r="C1539" t="s">
        <v>2118</v>
      </c>
      <c r="D1539">
        <v>100</v>
      </c>
      <c r="E1539" s="10" t="s">
        <v>11</v>
      </c>
      <c r="F1539" s="11">
        <v>25</v>
      </c>
      <c r="G1539">
        <v>100</v>
      </c>
      <c r="I1539" s="12"/>
      <c r="J1539" s="8"/>
      <c r="K1539" s="13"/>
    </row>
    <row r="1540" spans="1:11" x14ac:dyDescent="0.25">
      <c r="A1540" s="3" t="str">
        <f>"68084053201"</f>
        <v>68084053201</v>
      </c>
      <c r="B1540" s="3" t="s">
        <v>2113</v>
      </c>
      <c r="C1540" s="3" t="s">
        <v>2119</v>
      </c>
      <c r="D1540" s="3">
        <v>100</v>
      </c>
      <c r="E1540" s="4" t="s">
        <v>11</v>
      </c>
      <c r="F1540" s="5">
        <v>100</v>
      </c>
      <c r="G1540" s="3">
        <v>100</v>
      </c>
      <c r="I1540" s="7"/>
      <c r="J1540" s="8"/>
      <c r="K1540" s="9"/>
    </row>
    <row r="1541" spans="1:11" x14ac:dyDescent="0.25">
      <c r="A1541" t="str">
        <f>"68001018408"</f>
        <v>68001018408</v>
      </c>
      <c r="B1541" t="s">
        <v>2113</v>
      </c>
      <c r="C1541" t="s">
        <v>2120</v>
      </c>
      <c r="D1541">
        <v>1000</v>
      </c>
      <c r="E1541" s="10" t="s">
        <v>2121</v>
      </c>
      <c r="F1541" s="11" t="s">
        <v>1789</v>
      </c>
      <c r="G1541">
        <v>1000</v>
      </c>
      <c r="I1541" s="12"/>
      <c r="J1541" s="8"/>
      <c r="K1541" s="13"/>
    </row>
    <row r="1542" spans="1:11" x14ac:dyDescent="0.25">
      <c r="A1542" s="3" t="str">
        <f>"68001018203"</f>
        <v>68001018203</v>
      </c>
      <c r="B1542" s="3" t="s">
        <v>2113</v>
      </c>
      <c r="C1542" s="3" t="s">
        <v>2122</v>
      </c>
      <c r="D1542" s="3">
        <v>500</v>
      </c>
      <c r="E1542" s="4" t="s">
        <v>2123</v>
      </c>
      <c r="F1542" s="5" t="s">
        <v>1789</v>
      </c>
      <c r="G1542" s="3">
        <v>500</v>
      </c>
      <c r="I1542" s="7"/>
      <c r="J1542" s="8"/>
      <c r="K1542" s="9"/>
    </row>
    <row r="1543" spans="1:11" x14ac:dyDescent="0.25">
      <c r="A1543" t="str">
        <f>"68001018500"</f>
        <v>68001018500</v>
      </c>
      <c r="B1543" t="s">
        <v>2113</v>
      </c>
      <c r="C1543" t="s">
        <v>2124</v>
      </c>
      <c r="D1543">
        <v>100</v>
      </c>
      <c r="E1543" s="10" t="s">
        <v>2083</v>
      </c>
      <c r="F1543" s="11" t="s">
        <v>1789</v>
      </c>
      <c r="G1543">
        <v>100</v>
      </c>
      <c r="I1543" s="12"/>
      <c r="J1543" s="8"/>
      <c r="K1543" s="13"/>
    </row>
    <row r="1544" spans="1:11" x14ac:dyDescent="0.25">
      <c r="A1544" s="3" t="str">
        <f>"68001018303"</f>
        <v>68001018303</v>
      </c>
      <c r="B1544" s="3" t="s">
        <v>2113</v>
      </c>
      <c r="C1544" s="3" t="s">
        <v>2125</v>
      </c>
      <c r="D1544" s="3">
        <v>500</v>
      </c>
      <c r="E1544" s="4" t="s">
        <v>851</v>
      </c>
      <c r="F1544" s="5" t="s">
        <v>1789</v>
      </c>
      <c r="G1544" s="3">
        <v>500</v>
      </c>
      <c r="I1544" s="7"/>
      <c r="J1544" s="8"/>
      <c r="K1544" s="9"/>
    </row>
    <row r="1545" spans="1:11" x14ac:dyDescent="0.25">
      <c r="A1545" t="str">
        <f>"68001018103"</f>
        <v>68001018103</v>
      </c>
      <c r="B1545" t="s">
        <v>2113</v>
      </c>
      <c r="C1545" t="s">
        <v>2126</v>
      </c>
      <c r="D1545">
        <v>500</v>
      </c>
      <c r="E1545" s="10" t="s">
        <v>2127</v>
      </c>
      <c r="F1545" s="11" t="s">
        <v>1789</v>
      </c>
      <c r="G1545">
        <v>500</v>
      </c>
      <c r="I1545" s="12"/>
      <c r="J1545" s="8"/>
      <c r="K1545" s="13"/>
    </row>
    <row r="1546" spans="1:11" x14ac:dyDescent="0.25">
      <c r="A1546" s="3" t="str">
        <f>"61958100301"</f>
        <v>61958100301</v>
      </c>
      <c r="B1546" s="3" t="s">
        <v>2128</v>
      </c>
      <c r="C1546" s="3" t="s">
        <v>2129</v>
      </c>
      <c r="D1546" s="3">
        <v>60</v>
      </c>
      <c r="E1546" s="4" t="s">
        <v>11</v>
      </c>
      <c r="F1546" s="5">
        <v>500</v>
      </c>
      <c r="G1546" s="3">
        <v>60</v>
      </c>
      <c r="I1546" s="7"/>
      <c r="J1546" s="8"/>
      <c r="K1546" s="9"/>
    </row>
    <row r="1547" spans="1:11" x14ac:dyDescent="0.25">
      <c r="A1547" t="str">
        <f>"68462024801"</f>
        <v>68462024801</v>
      </c>
      <c r="B1547" t="s">
        <v>2130</v>
      </c>
      <c r="C1547" t="s">
        <v>2131</v>
      </c>
      <c r="D1547">
        <v>100</v>
      </c>
      <c r="E1547" s="10" t="s">
        <v>11</v>
      </c>
      <c r="F1547" s="11">
        <v>150</v>
      </c>
      <c r="G1547">
        <v>100</v>
      </c>
      <c r="I1547" s="12"/>
      <c r="J1547" s="8"/>
      <c r="K1547" s="13"/>
    </row>
    <row r="1548" spans="1:11" x14ac:dyDescent="0.25">
      <c r="A1548" s="3" t="str">
        <f>"51079087920"</f>
        <v>51079087920</v>
      </c>
      <c r="B1548" s="3" t="s">
        <v>2130</v>
      </c>
      <c r="C1548" s="3" t="s">
        <v>2132</v>
      </c>
      <c r="D1548" s="3">
        <v>100</v>
      </c>
      <c r="E1548" s="4" t="s">
        <v>11</v>
      </c>
      <c r="F1548" s="5">
        <v>150</v>
      </c>
      <c r="G1548" s="3">
        <v>100</v>
      </c>
      <c r="I1548" s="7"/>
      <c r="J1548" s="8"/>
      <c r="K1548" s="9"/>
    </row>
    <row r="1549" spans="1:11" x14ac:dyDescent="0.25">
      <c r="A1549" t="str">
        <f>"68462024805"</f>
        <v>68462024805</v>
      </c>
      <c r="B1549" t="s">
        <v>2130</v>
      </c>
      <c r="C1549" t="s">
        <v>2133</v>
      </c>
      <c r="D1549">
        <v>500</v>
      </c>
      <c r="E1549" s="10" t="s">
        <v>11</v>
      </c>
      <c r="F1549" s="11">
        <v>150</v>
      </c>
      <c r="G1549">
        <v>500</v>
      </c>
      <c r="I1549" s="12"/>
      <c r="J1549" s="8"/>
      <c r="K1549" s="13"/>
    </row>
    <row r="1550" spans="1:11" x14ac:dyDescent="0.25">
      <c r="A1550" s="3" t="str">
        <f>"58914030180"</f>
        <v>58914030180</v>
      </c>
      <c r="B1550" s="3" t="s">
        <v>1749</v>
      </c>
      <c r="C1550" s="3" t="s">
        <v>2134</v>
      </c>
      <c r="D1550" s="3">
        <v>30</v>
      </c>
      <c r="E1550" s="4" t="s">
        <v>43</v>
      </c>
      <c r="F1550" s="5">
        <v>0.4</v>
      </c>
      <c r="G1550" s="3">
        <v>30</v>
      </c>
      <c r="I1550" s="7"/>
      <c r="J1550" s="8"/>
      <c r="K1550" s="9"/>
    </row>
    <row r="1551" spans="1:11" x14ac:dyDescent="0.25">
      <c r="A1551" t="str">
        <f>"00023050650"</f>
        <v>00023050650</v>
      </c>
      <c r="B1551" t="s">
        <v>2135</v>
      </c>
      <c r="C1551" t="s">
        <v>2136</v>
      </c>
      <c r="D1551">
        <v>0.5</v>
      </c>
      <c r="G1551">
        <v>50</v>
      </c>
      <c r="I1551" s="12"/>
      <c r="J1551" s="8"/>
      <c r="K1551" s="13"/>
    </row>
    <row r="1552" spans="1:11" x14ac:dyDescent="0.25">
      <c r="A1552" s="3" t="str">
        <f>"00023040350"</f>
        <v>00023040350</v>
      </c>
      <c r="B1552" s="3" t="s">
        <v>2137</v>
      </c>
      <c r="C1552" s="3" t="s">
        <v>2138</v>
      </c>
      <c r="D1552" s="3">
        <v>20</v>
      </c>
      <c r="E1552" s="4" t="s">
        <v>43</v>
      </c>
      <c r="F1552" s="5">
        <v>0.5</v>
      </c>
      <c r="G1552" s="3">
        <v>50</v>
      </c>
      <c r="I1552" s="7"/>
      <c r="J1552" s="8"/>
      <c r="K1552" s="9"/>
    </row>
    <row r="1553" spans="1:11" x14ac:dyDescent="0.25">
      <c r="A1553" t="str">
        <f>"00023024004"</f>
        <v>00023024004</v>
      </c>
      <c r="B1553" t="s">
        <v>1155</v>
      </c>
      <c r="C1553" t="s">
        <v>2139</v>
      </c>
      <c r="D1553">
        <v>3.5</v>
      </c>
      <c r="G1553">
        <v>3.5</v>
      </c>
      <c r="I1553" s="12"/>
      <c r="J1553" s="8"/>
      <c r="K1553" s="13"/>
    </row>
    <row r="1554" spans="1:11" x14ac:dyDescent="0.25">
      <c r="A1554" s="3" t="str">
        <f>"00023079815"</f>
        <v>00023079815</v>
      </c>
      <c r="B1554" s="3" t="s">
        <v>2137</v>
      </c>
      <c r="C1554" s="3" t="s">
        <v>2140</v>
      </c>
      <c r="D1554" s="3">
        <v>15</v>
      </c>
      <c r="E1554" s="4"/>
      <c r="F1554" s="5"/>
      <c r="G1554" s="3">
        <v>15</v>
      </c>
      <c r="I1554" s="7"/>
      <c r="J1554" s="8"/>
      <c r="K1554" s="9"/>
    </row>
    <row r="1555" spans="1:11" x14ac:dyDescent="0.25">
      <c r="A1555" t="str">
        <f>"57894003001"</f>
        <v>57894003001</v>
      </c>
      <c r="B1555" t="s">
        <v>2141</v>
      </c>
      <c r="C1555" t="s">
        <v>2142</v>
      </c>
      <c r="D1555">
        <v>0</v>
      </c>
      <c r="E1555" s="10" t="s">
        <v>11</v>
      </c>
      <c r="F1555" s="11">
        <v>100</v>
      </c>
      <c r="G1555">
        <v>1</v>
      </c>
      <c r="I1555" s="12"/>
      <c r="J1555" s="8"/>
      <c r="K1555" s="13"/>
    </row>
    <row r="1556" spans="1:11" x14ac:dyDescent="0.25">
      <c r="A1556" s="3" t="str">
        <f>"58468002001"</f>
        <v>58468002001</v>
      </c>
      <c r="B1556" s="3" t="s">
        <v>2143</v>
      </c>
      <c r="C1556" s="3" t="s">
        <v>2144</v>
      </c>
      <c r="D1556" s="3">
        <v>360</v>
      </c>
      <c r="E1556" s="4" t="s">
        <v>11</v>
      </c>
      <c r="F1556" s="5">
        <v>400</v>
      </c>
      <c r="G1556" s="3">
        <v>360</v>
      </c>
      <c r="I1556" s="7"/>
      <c r="J1556" s="8"/>
      <c r="K1556" s="9"/>
    </row>
    <row r="1557" spans="1:11" x14ac:dyDescent="0.25">
      <c r="A1557" t="str">
        <f>"58468002101"</f>
        <v>58468002101</v>
      </c>
      <c r="B1557" t="s">
        <v>2143</v>
      </c>
      <c r="C1557" t="s">
        <v>2145</v>
      </c>
      <c r="D1557">
        <v>180</v>
      </c>
      <c r="E1557" s="10" t="s">
        <v>11</v>
      </c>
      <c r="F1557" s="11">
        <v>800</v>
      </c>
      <c r="G1557">
        <v>180</v>
      </c>
      <c r="I1557" s="12"/>
      <c r="J1557" s="8"/>
      <c r="K1557" s="13"/>
    </row>
    <row r="1558" spans="1:11" x14ac:dyDescent="0.25">
      <c r="A1558" s="3" t="str">
        <f>"10119003122"</f>
        <v>10119003122</v>
      </c>
      <c r="B1558" s="3" t="s">
        <v>2146</v>
      </c>
      <c r="C1558" s="3" t="s">
        <v>2147</v>
      </c>
      <c r="D1558" s="3">
        <v>12</v>
      </c>
      <c r="E1558" s="4"/>
      <c r="F1558" s="5"/>
      <c r="G1558" s="3">
        <v>355</v>
      </c>
      <c r="I1558" s="7"/>
      <c r="J1558" s="8"/>
      <c r="K1558" s="9"/>
    </row>
    <row r="1559" spans="1:11" x14ac:dyDescent="0.25">
      <c r="A1559" t="str">
        <f>"10119003018"</f>
        <v>10119003018</v>
      </c>
      <c r="B1559" t="s">
        <v>2146</v>
      </c>
      <c r="C1559" t="s">
        <v>2148</v>
      </c>
      <c r="D1559">
        <v>12</v>
      </c>
      <c r="G1559">
        <v>355</v>
      </c>
      <c r="I1559" s="12"/>
      <c r="J1559" s="8"/>
      <c r="K1559" s="13"/>
    </row>
    <row r="1560" spans="1:11" x14ac:dyDescent="0.25">
      <c r="A1560" s="3" t="str">
        <f>"10119003048"</f>
        <v>10119003048</v>
      </c>
      <c r="B1560" s="3" t="s">
        <v>2146</v>
      </c>
      <c r="C1560" s="3" t="s">
        <v>2149</v>
      </c>
      <c r="D1560" s="3">
        <v>4</v>
      </c>
      <c r="E1560" s="4"/>
      <c r="F1560" s="5"/>
      <c r="G1560" s="3">
        <v>118</v>
      </c>
      <c r="I1560" s="7"/>
      <c r="J1560" s="8"/>
      <c r="K1560" s="9"/>
    </row>
    <row r="1561" spans="1:11" x14ac:dyDescent="0.25">
      <c r="I1561" s="12"/>
      <c r="J1561" s="8"/>
      <c r="K1561" s="13"/>
    </row>
    <row r="1562" spans="1:11" x14ac:dyDescent="0.25">
      <c r="A1562" s="3" t="str">
        <f>"58468013001"</f>
        <v>58468013001</v>
      </c>
      <c r="B1562" s="3" t="s">
        <v>2150</v>
      </c>
      <c r="C1562" s="3" t="s">
        <v>2151</v>
      </c>
      <c r="D1562" s="3">
        <v>270</v>
      </c>
      <c r="E1562" s="4" t="s">
        <v>11</v>
      </c>
      <c r="F1562" s="5">
        <v>800</v>
      </c>
      <c r="G1562" s="3">
        <v>270</v>
      </c>
      <c r="I1562" s="7"/>
      <c r="J1562" s="8"/>
      <c r="K1562" s="9"/>
    </row>
    <row r="1563" spans="1:11" x14ac:dyDescent="0.25">
      <c r="A1563" t="str">
        <f>"55513077001"</f>
        <v>55513077001</v>
      </c>
      <c r="B1563" t="s">
        <v>2152</v>
      </c>
      <c r="C1563" t="s">
        <v>2153</v>
      </c>
      <c r="D1563">
        <v>3.5</v>
      </c>
      <c r="E1563" s="10" t="s">
        <v>11</v>
      </c>
      <c r="F1563" s="11">
        <v>420</v>
      </c>
      <c r="G1563">
        <v>3.5</v>
      </c>
      <c r="I1563" s="12"/>
      <c r="J1563" s="8"/>
      <c r="K1563" s="13"/>
    </row>
    <row r="1564" spans="1:11" x14ac:dyDescent="0.25">
      <c r="A1564" s="3" t="str">
        <f>"00023916330"</f>
        <v>00023916330</v>
      </c>
      <c r="B1564" s="3" t="s">
        <v>2154</v>
      </c>
      <c r="C1564" s="3" t="s">
        <v>2155</v>
      </c>
      <c r="D1564" s="3">
        <v>12</v>
      </c>
      <c r="E1564" s="4" t="s">
        <v>43</v>
      </c>
      <c r="F1564" s="5">
        <v>0.05</v>
      </c>
      <c r="G1564" s="3">
        <v>30</v>
      </c>
      <c r="I1564" s="7"/>
      <c r="J1564" s="8"/>
      <c r="K1564" s="9"/>
    </row>
    <row r="1565" spans="1:11" x14ac:dyDescent="0.25">
      <c r="A1565" t="str">
        <f>"07466621500"</f>
        <v>07466621500</v>
      </c>
      <c r="C1565" t="s">
        <v>2156</v>
      </c>
      <c r="D1565">
        <v>100</v>
      </c>
      <c r="G1565">
        <v>0</v>
      </c>
      <c r="I1565" s="12"/>
      <c r="J1565" s="8"/>
      <c r="K1565" s="13"/>
    </row>
    <row r="1566" spans="1:11" x14ac:dyDescent="0.25">
      <c r="A1566" s="3"/>
      <c r="B1566" s="3"/>
      <c r="C1566" s="3" t="s">
        <v>2157</v>
      </c>
      <c r="D1566" s="3">
        <v>1700</v>
      </c>
      <c r="E1566" s="4"/>
      <c r="F1566" s="5"/>
      <c r="G1566" s="3">
        <v>0</v>
      </c>
      <c r="I1566" s="7"/>
      <c r="J1566" s="8"/>
      <c r="K1566" s="9"/>
    </row>
    <row r="1567" spans="1:11" x14ac:dyDescent="0.25">
      <c r="A1567" t="str">
        <f>"00003363112"</f>
        <v>00003363112</v>
      </c>
      <c r="B1567" t="s">
        <v>2158</v>
      </c>
      <c r="C1567" t="s">
        <v>2159</v>
      </c>
      <c r="D1567">
        <v>60</v>
      </c>
      <c r="E1567" s="10" t="s">
        <v>11</v>
      </c>
      <c r="F1567" s="11">
        <v>200</v>
      </c>
      <c r="G1567">
        <v>60</v>
      </c>
      <c r="I1567" s="12"/>
      <c r="J1567" s="8"/>
      <c r="K1567" s="13"/>
    </row>
    <row r="1568" spans="1:11" x14ac:dyDescent="0.25">
      <c r="A1568" s="3" t="str">
        <f>"00003362212"</f>
        <v>00003362212</v>
      </c>
      <c r="B1568" s="3" t="s">
        <v>2158</v>
      </c>
      <c r="C1568" s="3" t="s">
        <v>2160</v>
      </c>
      <c r="D1568" s="3">
        <v>30</v>
      </c>
      <c r="E1568" s="4" t="s">
        <v>11</v>
      </c>
      <c r="F1568" s="5">
        <v>300</v>
      </c>
      <c r="G1568" s="3">
        <v>30</v>
      </c>
      <c r="I1568" s="7"/>
      <c r="J1568" s="8"/>
      <c r="K1568" s="9"/>
    </row>
    <row r="1569" spans="1:11" x14ac:dyDescent="0.25">
      <c r="A1569" t="str">
        <f>"50580064601"</f>
        <v>50580064601</v>
      </c>
      <c r="B1569" t="s">
        <v>359</v>
      </c>
      <c r="C1569" t="s">
        <v>2161</v>
      </c>
      <c r="D1569">
        <v>0</v>
      </c>
      <c r="G1569">
        <v>5</v>
      </c>
      <c r="I1569" s="12"/>
      <c r="J1569" s="8"/>
      <c r="K1569" s="13"/>
    </row>
    <row r="1570" spans="1:11" x14ac:dyDescent="0.25">
      <c r="A1570" s="3" t="str">
        <f>"00562780501"</f>
        <v>00562780501</v>
      </c>
      <c r="B1570" s="3" t="s">
        <v>2162</v>
      </c>
      <c r="C1570" s="3" t="s">
        <v>2163</v>
      </c>
      <c r="D1570" s="3">
        <v>1</v>
      </c>
      <c r="E1570" s="4" t="s">
        <v>178</v>
      </c>
      <c r="F1570" s="5">
        <v>300</v>
      </c>
      <c r="G1570" s="3">
        <v>1</v>
      </c>
      <c r="I1570" s="7"/>
      <c r="J1570" s="8"/>
      <c r="K1570" s="9"/>
    </row>
    <row r="1571" spans="1:11" x14ac:dyDescent="0.25">
      <c r="A1571" t="str">
        <f>"68382026012"</f>
        <v>68382026012</v>
      </c>
      <c r="B1571" t="s">
        <v>2164</v>
      </c>
      <c r="C1571" t="s">
        <v>2165</v>
      </c>
      <c r="D1571">
        <v>84</v>
      </c>
      <c r="E1571" s="10" t="s">
        <v>11</v>
      </c>
      <c r="F1571" s="11">
        <v>200</v>
      </c>
      <c r="G1571">
        <v>84</v>
      </c>
      <c r="I1571" s="12"/>
      <c r="J1571" s="8"/>
      <c r="K1571" s="13"/>
    </row>
    <row r="1572" spans="1:11" x14ac:dyDescent="0.25">
      <c r="A1572" s="3" t="str">
        <f>"68180028501"</f>
        <v>68180028501</v>
      </c>
      <c r="B1572" s="3" t="s">
        <v>2166</v>
      </c>
      <c r="C1572" s="3" t="s">
        <v>2167</v>
      </c>
      <c r="D1572" s="3">
        <v>100</v>
      </c>
      <c r="E1572" s="4" t="s">
        <v>11</v>
      </c>
      <c r="F1572" s="5">
        <v>150</v>
      </c>
      <c r="G1572" s="3">
        <v>100</v>
      </c>
      <c r="I1572" s="7"/>
      <c r="J1572" s="8"/>
      <c r="K1572" s="9"/>
    </row>
    <row r="1573" spans="1:11" x14ac:dyDescent="0.25">
      <c r="A1573" t="str">
        <f>"68084035801"</f>
        <v>68084035801</v>
      </c>
      <c r="B1573" t="s">
        <v>2168</v>
      </c>
      <c r="C1573" t="s">
        <v>2169</v>
      </c>
      <c r="D1573">
        <v>100</v>
      </c>
      <c r="E1573" s="10" t="s">
        <v>11</v>
      </c>
      <c r="F1573" s="11">
        <v>300</v>
      </c>
      <c r="G1573">
        <v>100</v>
      </c>
      <c r="I1573" s="12"/>
      <c r="J1573" s="8"/>
      <c r="K1573" s="13"/>
    </row>
    <row r="1574" spans="1:11" x14ac:dyDescent="0.25">
      <c r="A1574" s="3" t="str">
        <f>"00527131506"</f>
        <v>00527131506</v>
      </c>
      <c r="B1574" s="3" t="s">
        <v>2168</v>
      </c>
      <c r="C1574" s="3" t="s">
        <v>2170</v>
      </c>
      <c r="D1574" s="3">
        <v>60</v>
      </c>
      <c r="E1574" s="4" t="s">
        <v>11</v>
      </c>
      <c r="F1574" s="5">
        <v>300</v>
      </c>
      <c r="G1574" s="3">
        <v>60</v>
      </c>
      <c r="I1574" s="7"/>
      <c r="J1574" s="8"/>
      <c r="K1574" s="9"/>
    </row>
    <row r="1575" spans="1:11" x14ac:dyDescent="0.25">
      <c r="A1575" t="str">
        <f>"50458030611"</f>
        <v>50458030611</v>
      </c>
      <c r="B1575" t="s">
        <v>2171</v>
      </c>
      <c r="C1575" t="s">
        <v>2172</v>
      </c>
      <c r="D1575">
        <v>2</v>
      </c>
      <c r="E1575" s="10" t="s">
        <v>11</v>
      </c>
      <c r="F1575" s="11">
        <v>25</v>
      </c>
      <c r="G1575">
        <v>1</v>
      </c>
      <c r="I1575" s="12"/>
      <c r="J1575" s="8"/>
      <c r="K1575" s="13"/>
    </row>
    <row r="1576" spans="1:11" x14ac:dyDescent="0.25">
      <c r="A1576" s="3" t="str">
        <f>"50458030711"</f>
        <v>50458030711</v>
      </c>
      <c r="B1576" s="3" t="s">
        <v>2171</v>
      </c>
      <c r="C1576" s="3" t="s">
        <v>2173</v>
      </c>
      <c r="D1576" s="3">
        <v>2</v>
      </c>
      <c r="E1576" s="4" t="s">
        <v>11</v>
      </c>
      <c r="F1576" s="5">
        <v>37.5</v>
      </c>
      <c r="G1576" s="3">
        <v>1</v>
      </c>
      <c r="I1576" s="7"/>
      <c r="J1576" s="8"/>
      <c r="K1576" s="9"/>
    </row>
    <row r="1577" spans="1:11" x14ac:dyDescent="0.25">
      <c r="A1577" t="str">
        <f>"50458030811"</f>
        <v>50458030811</v>
      </c>
      <c r="B1577" t="s">
        <v>2171</v>
      </c>
      <c r="C1577" t="s">
        <v>2174</v>
      </c>
      <c r="D1577">
        <v>2</v>
      </c>
      <c r="E1577" s="10" t="s">
        <v>11</v>
      </c>
      <c r="F1577" s="11">
        <v>50</v>
      </c>
      <c r="G1577">
        <v>1</v>
      </c>
      <c r="I1577" s="12"/>
      <c r="J1577" s="8"/>
      <c r="K1577" s="13"/>
    </row>
    <row r="1578" spans="1:11" x14ac:dyDescent="0.25">
      <c r="A1578" s="3" t="str">
        <f>"68382011214"</f>
        <v>68382011214</v>
      </c>
      <c r="B1578" s="3" t="s">
        <v>2175</v>
      </c>
      <c r="C1578" s="3" t="s">
        <v>2176</v>
      </c>
      <c r="D1578" s="3">
        <v>60</v>
      </c>
      <c r="E1578" s="4" t="s">
        <v>11</v>
      </c>
      <c r="F1578" s="5">
        <v>0.25</v>
      </c>
      <c r="G1578" s="3">
        <v>60</v>
      </c>
      <c r="I1578" s="7"/>
      <c r="J1578" s="8"/>
      <c r="K1578" s="9"/>
    </row>
    <row r="1579" spans="1:11" x14ac:dyDescent="0.25">
      <c r="A1579" t="str">
        <f>"68084027101"</f>
        <v>68084027101</v>
      </c>
      <c r="B1579" t="s">
        <v>2175</v>
      </c>
      <c r="C1579" t="s">
        <v>2177</v>
      </c>
      <c r="D1579">
        <v>100</v>
      </c>
      <c r="E1579" s="10" t="s">
        <v>11</v>
      </c>
      <c r="F1579" s="11">
        <v>0.5</v>
      </c>
      <c r="G1579">
        <v>100</v>
      </c>
      <c r="I1579" s="12"/>
      <c r="J1579" s="8"/>
      <c r="K1579" s="13"/>
    </row>
    <row r="1580" spans="1:11" x14ac:dyDescent="0.25">
      <c r="A1580" s="3" t="str">
        <f>"68382011305"</f>
        <v>68382011305</v>
      </c>
      <c r="B1580" s="3" t="s">
        <v>2175</v>
      </c>
      <c r="C1580" s="3" t="s">
        <v>2178</v>
      </c>
      <c r="D1580" s="3">
        <v>500</v>
      </c>
      <c r="E1580" s="4" t="s">
        <v>11</v>
      </c>
      <c r="F1580" s="5">
        <v>0.5</v>
      </c>
      <c r="G1580" s="3">
        <v>500</v>
      </c>
      <c r="I1580" s="7"/>
      <c r="J1580" s="8"/>
      <c r="K1580" s="9"/>
    </row>
    <row r="1581" spans="1:11" x14ac:dyDescent="0.25">
      <c r="A1581" t="str">
        <f>"68084027201"</f>
        <v>68084027201</v>
      </c>
      <c r="B1581" t="s">
        <v>2175</v>
      </c>
      <c r="C1581" t="s">
        <v>2179</v>
      </c>
      <c r="D1581">
        <v>100</v>
      </c>
      <c r="E1581" s="10" t="s">
        <v>11</v>
      </c>
      <c r="F1581" s="11">
        <v>1</v>
      </c>
      <c r="G1581">
        <v>100</v>
      </c>
      <c r="I1581" s="12"/>
      <c r="J1581" s="8"/>
      <c r="K1581" s="13"/>
    </row>
    <row r="1582" spans="1:11" x14ac:dyDescent="0.25">
      <c r="A1582" s="3" t="str">
        <f>"68382011405"</f>
        <v>68382011405</v>
      </c>
      <c r="B1582" s="3" t="s">
        <v>2175</v>
      </c>
      <c r="C1582" s="3" t="s">
        <v>2180</v>
      </c>
      <c r="D1582" s="3">
        <v>500</v>
      </c>
      <c r="E1582" s="4" t="s">
        <v>11</v>
      </c>
      <c r="F1582" s="5">
        <v>1</v>
      </c>
      <c r="G1582" s="3">
        <v>500</v>
      </c>
      <c r="I1582" s="7"/>
      <c r="J1582" s="8"/>
      <c r="K1582" s="9"/>
    </row>
    <row r="1583" spans="1:11" x14ac:dyDescent="0.25">
      <c r="A1583" t="str">
        <f>"65162067384"</f>
        <v>65162067384</v>
      </c>
      <c r="B1583" t="s">
        <v>2175</v>
      </c>
      <c r="C1583" t="s">
        <v>2181</v>
      </c>
      <c r="D1583">
        <v>30</v>
      </c>
      <c r="E1583" s="10" t="s">
        <v>20</v>
      </c>
      <c r="F1583" s="11">
        <v>1</v>
      </c>
      <c r="G1583">
        <v>30</v>
      </c>
      <c r="I1583" s="12"/>
      <c r="J1583" s="8"/>
      <c r="K1583" s="13"/>
    </row>
    <row r="1584" spans="1:11" x14ac:dyDescent="0.25">
      <c r="A1584" s="3" t="str">
        <f>"50458059601"</f>
        <v>50458059601</v>
      </c>
      <c r="B1584" s="3" t="s">
        <v>2175</v>
      </c>
      <c r="C1584" s="3" t="s">
        <v>2181</v>
      </c>
      <c r="D1584" s="3">
        <v>30</v>
      </c>
      <c r="E1584" s="4" t="s">
        <v>20</v>
      </c>
      <c r="F1584" s="5">
        <v>1</v>
      </c>
      <c r="G1584" s="3">
        <v>30</v>
      </c>
      <c r="I1584" s="7"/>
      <c r="J1584" s="8"/>
      <c r="K1584" s="9"/>
    </row>
    <row r="1585" spans="1:11" x14ac:dyDescent="0.25">
      <c r="A1585" t="str">
        <f>"00603942445"</f>
        <v>00603942445</v>
      </c>
      <c r="B1585" t="s">
        <v>2175</v>
      </c>
      <c r="C1585" t="s">
        <v>2182</v>
      </c>
      <c r="D1585">
        <v>30</v>
      </c>
      <c r="E1585" s="10" t="s">
        <v>20</v>
      </c>
      <c r="F1585" s="11">
        <v>1</v>
      </c>
      <c r="G1585">
        <v>30</v>
      </c>
      <c r="I1585" s="12"/>
      <c r="J1585" s="8"/>
      <c r="K1585" s="13"/>
    </row>
    <row r="1586" spans="1:11" x14ac:dyDescent="0.25">
      <c r="A1586" s="3" t="str">
        <f>"68084027301"</f>
        <v>68084027301</v>
      </c>
      <c r="B1586" s="3" t="s">
        <v>2175</v>
      </c>
      <c r="C1586" s="3" t="s">
        <v>2183</v>
      </c>
      <c r="D1586" s="3">
        <v>100</v>
      </c>
      <c r="E1586" s="4" t="s">
        <v>11</v>
      </c>
      <c r="F1586" s="5">
        <v>2</v>
      </c>
      <c r="G1586" s="3">
        <v>100</v>
      </c>
      <c r="I1586" s="7"/>
      <c r="J1586" s="8"/>
      <c r="K1586" s="9"/>
    </row>
    <row r="1587" spans="1:11" x14ac:dyDescent="0.25">
      <c r="A1587" t="str">
        <f>"68382011505"</f>
        <v>68382011505</v>
      </c>
      <c r="B1587" t="s">
        <v>2175</v>
      </c>
      <c r="C1587" t="s">
        <v>2184</v>
      </c>
      <c r="D1587">
        <v>500</v>
      </c>
      <c r="E1587" s="10" t="s">
        <v>11</v>
      </c>
      <c r="F1587" s="11">
        <v>2</v>
      </c>
      <c r="G1587">
        <v>500</v>
      </c>
      <c r="I1587" s="12"/>
      <c r="J1587" s="8"/>
      <c r="K1587" s="13"/>
    </row>
    <row r="1588" spans="1:11" x14ac:dyDescent="0.25">
      <c r="A1588" s="3" t="str">
        <f>"68382011605"</f>
        <v>68382011605</v>
      </c>
      <c r="B1588" s="3" t="s">
        <v>2175</v>
      </c>
      <c r="C1588" s="3" t="s">
        <v>2185</v>
      </c>
      <c r="D1588" s="3">
        <v>500</v>
      </c>
      <c r="E1588" s="4" t="s">
        <v>11</v>
      </c>
      <c r="F1588" s="5">
        <v>3</v>
      </c>
      <c r="G1588" s="3">
        <v>500</v>
      </c>
      <c r="I1588" s="7"/>
      <c r="J1588" s="8"/>
      <c r="K1588" s="9"/>
    </row>
    <row r="1589" spans="1:11" x14ac:dyDescent="0.25">
      <c r="A1589" t="str">
        <f>"68382011714"</f>
        <v>68382011714</v>
      </c>
      <c r="B1589" t="s">
        <v>2175</v>
      </c>
      <c r="C1589" t="s">
        <v>2186</v>
      </c>
      <c r="D1589">
        <v>60</v>
      </c>
      <c r="E1589" s="10" t="s">
        <v>11</v>
      </c>
      <c r="F1589" s="11">
        <v>4</v>
      </c>
      <c r="G1589">
        <v>60</v>
      </c>
      <c r="I1589" s="12"/>
      <c r="J1589" s="8"/>
      <c r="K1589" s="13"/>
    </row>
    <row r="1590" spans="1:11" x14ac:dyDescent="0.25">
      <c r="A1590" s="3" t="str">
        <f>"00904006116"</f>
        <v>00904006116</v>
      </c>
      <c r="B1590" s="3" t="s">
        <v>1671</v>
      </c>
      <c r="C1590" s="3" t="s">
        <v>2187</v>
      </c>
      <c r="D1590" s="3">
        <v>16</v>
      </c>
      <c r="E1590" s="4" t="s">
        <v>438</v>
      </c>
      <c r="F1590" s="5">
        <v>100</v>
      </c>
      <c r="G1590" s="3">
        <v>473</v>
      </c>
      <c r="I1590" s="7"/>
      <c r="J1590" s="8"/>
      <c r="K1590" s="9"/>
    </row>
    <row r="1591" spans="1:11" x14ac:dyDescent="0.25">
      <c r="A1591" t="str">
        <f>"00904006100"</f>
        <v>00904006100</v>
      </c>
      <c r="B1591" t="s">
        <v>1671</v>
      </c>
      <c r="C1591" t="s">
        <v>2188</v>
      </c>
      <c r="D1591">
        <v>4</v>
      </c>
      <c r="E1591" s="10" t="s">
        <v>438</v>
      </c>
      <c r="F1591" s="11">
        <v>100</v>
      </c>
      <c r="G1591">
        <v>118</v>
      </c>
      <c r="I1591" s="12"/>
      <c r="J1591" s="8"/>
      <c r="K1591" s="13"/>
    </row>
    <row r="1592" spans="1:11" x14ac:dyDescent="0.25">
      <c r="A1592" s="3" t="str">
        <f>"16252061730"</f>
        <v>16252061730</v>
      </c>
      <c r="B1592" s="3" t="s">
        <v>618</v>
      </c>
      <c r="C1592" s="3" t="s">
        <v>2189</v>
      </c>
      <c r="D1592" s="3">
        <v>30</v>
      </c>
      <c r="E1592" s="4" t="s">
        <v>11</v>
      </c>
      <c r="F1592" s="5">
        <v>20</v>
      </c>
      <c r="G1592" s="3">
        <v>30</v>
      </c>
      <c r="I1592" s="7"/>
      <c r="J1592" s="8"/>
      <c r="K1592" s="9"/>
    </row>
    <row r="1593" spans="1:11" x14ac:dyDescent="0.25">
      <c r="A1593" t="str">
        <f>"31722088530"</f>
        <v>31722088530</v>
      </c>
      <c r="B1593" t="s">
        <v>618</v>
      </c>
      <c r="C1593" t="s">
        <v>2190</v>
      </c>
      <c r="D1593">
        <v>30</v>
      </c>
      <c r="E1593" s="10" t="s">
        <v>11</v>
      </c>
      <c r="F1593" s="11">
        <v>40</v>
      </c>
      <c r="G1593">
        <v>30</v>
      </c>
      <c r="I1593" s="12"/>
      <c r="J1593" s="8"/>
      <c r="K1593" s="13"/>
    </row>
    <row r="1594" spans="1:11" x14ac:dyDescent="0.25">
      <c r="A1594" s="3" t="str">
        <f>"16252061830"</f>
        <v>16252061830</v>
      </c>
      <c r="B1594" s="3" t="s">
        <v>618</v>
      </c>
      <c r="C1594" s="3" t="s">
        <v>2191</v>
      </c>
      <c r="D1594" s="3">
        <v>30</v>
      </c>
      <c r="E1594" s="4" t="s">
        <v>11</v>
      </c>
      <c r="F1594" s="5">
        <v>40</v>
      </c>
      <c r="G1594" s="3">
        <v>30</v>
      </c>
      <c r="I1594" s="7"/>
      <c r="J1594" s="8"/>
      <c r="K1594" s="9"/>
    </row>
    <row r="1595" spans="1:11" x14ac:dyDescent="0.25">
      <c r="A1595" t="str">
        <f>"16252061530"</f>
        <v>16252061530</v>
      </c>
      <c r="B1595" t="s">
        <v>618</v>
      </c>
      <c r="C1595" t="s">
        <v>2192</v>
      </c>
      <c r="D1595">
        <v>30</v>
      </c>
      <c r="E1595" s="10" t="s">
        <v>11</v>
      </c>
      <c r="F1595" s="11">
        <v>5</v>
      </c>
      <c r="G1595">
        <v>30</v>
      </c>
      <c r="I1595" s="12"/>
      <c r="J1595" s="8"/>
      <c r="K1595" s="13"/>
    </row>
    <row r="1596" spans="1:11" x14ac:dyDescent="0.25">
      <c r="A1596" s="3"/>
      <c r="B1596" s="3" t="s">
        <v>2193</v>
      </c>
      <c r="C1596" s="3" t="s">
        <v>2193</v>
      </c>
      <c r="D1596" s="3"/>
      <c r="E1596" s="4"/>
      <c r="F1596" s="5"/>
      <c r="G1596" s="3">
        <v>0</v>
      </c>
      <c r="I1596" s="7"/>
      <c r="J1596" s="8"/>
      <c r="K1596" s="9"/>
    </row>
    <row r="1597" spans="1:11" x14ac:dyDescent="0.25">
      <c r="B1597" t="s">
        <v>2194</v>
      </c>
      <c r="C1597" t="s">
        <v>2194</v>
      </c>
      <c r="I1597" s="12"/>
      <c r="J1597" s="8"/>
      <c r="K1597" s="13"/>
    </row>
    <row r="1598" spans="1:11" x14ac:dyDescent="0.25">
      <c r="A1598" s="3"/>
      <c r="B1598" s="3" t="s">
        <v>2194</v>
      </c>
      <c r="C1598" s="3" t="s">
        <v>2194</v>
      </c>
      <c r="D1598" s="3"/>
      <c r="E1598" s="4"/>
      <c r="F1598" s="5"/>
      <c r="G1598" s="3">
        <v>0</v>
      </c>
      <c r="I1598" s="7"/>
      <c r="J1598" s="8"/>
      <c r="K1598" s="9"/>
    </row>
    <row r="1599" spans="1:11" x14ac:dyDescent="0.25">
      <c r="B1599" t="s">
        <v>2194</v>
      </c>
      <c r="C1599" t="s">
        <v>2194</v>
      </c>
      <c r="I1599" s="12"/>
      <c r="J1599" s="8"/>
      <c r="K1599" s="13"/>
    </row>
    <row r="1600" spans="1:11" x14ac:dyDescent="0.25">
      <c r="A1600" s="3" t="str">
        <f>"00064501030"</f>
        <v>00064501030</v>
      </c>
      <c r="B1600" s="3" t="s">
        <v>2195</v>
      </c>
      <c r="C1600" s="3" t="s">
        <v>2196</v>
      </c>
      <c r="D1600" s="3">
        <v>30</v>
      </c>
      <c r="E1600" s="4" t="s">
        <v>2197</v>
      </c>
      <c r="F1600" s="5">
        <v>250</v>
      </c>
      <c r="G1600" s="3">
        <v>30</v>
      </c>
      <c r="I1600" s="7"/>
      <c r="J1600" s="8"/>
      <c r="K1600" s="9"/>
    </row>
    <row r="1601" spans="1:11" x14ac:dyDescent="0.25">
      <c r="A1601" t="str">
        <f>"50484001030"</f>
        <v>50484001030</v>
      </c>
      <c r="B1601" t="s">
        <v>2195</v>
      </c>
      <c r="C1601" t="s">
        <v>2196</v>
      </c>
      <c r="D1601">
        <v>30</v>
      </c>
      <c r="E1601" s="10" t="s">
        <v>2197</v>
      </c>
      <c r="F1601" s="11">
        <v>250</v>
      </c>
      <c r="G1601">
        <v>30</v>
      </c>
      <c r="I1601" s="12"/>
      <c r="J1601" s="8"/>
      <c r="K1601" s="13"/>
    </row>
    <row r="1602" spans="1:11" x14ac:dyDescent="0.25">
      <c r="A1602" s="3" t="str">
        <f>"00456241060"</f>
        <v>00456241060</v>
      </c>
      <c r="B1602" s="3" t="s">
        <v>2198</v>
      </c>
      <c r="C1602" s="3" t="s">
        <v>2199</v>
      </c>
      <c r="D1602" s="3">
        <v>60</v>
      </c>
      <c r="E1602" s="4" t="s">
        <v>1898</v>
      </c>
      <c r="F1602" s="5" t="s">
        <v>2200</v>
      </c>
      <c r="G1602" s="3">
        <v>60</v>
      </c>
      <c r="I1602" s="7"/>
      <c r="J1602" s="8"/>
      <c r="K1602" s="9"/>
    </row>
    <row r="1603" spans="1:11" x14ac:dyDescent="0.25">
      <c r="A1603" t="str">
        <f>"00536196297"</f>
        <v>00536196297</v>
      </c>
      <c r="B1603" t="s">
        <v>2201</v>
      </c>
      <c r="C1603" t="s">
        <v>2202</v>
      </c>
      <c r="D1603">
        <v>4</v>
      </c>
      <c r="G1603">
        <v>118</v>
      </c>
      <c r="I1603" s="12"/>
      <c r="J1603" s="8"/>
      <c r="K1603" s="13"/>
    </row>
    <row r="1604" spans="1:11" x14ac:dyDescent="0.25">
      <c r="A1604" s="3" t="str">
        <f>"45802004064"</f>
        <v>45802004064</v>
      </c>
      <c r="B1604" s="3" t="s">
        <v>2203</v>
      </c>
      <c r="C1604" s="3" t="s">
        <v>2204</v>
      </c>
      <c r="D1604" s="3">
        <v>4</v>
      </c>
      <c r="E1604" s="4" t="s">
        <v>43</v>
      </c>
      <c r="F1604" s="5">
        <v>2.5</v>
      </c>
      <c r="G1604" s="3">
        <v>120</v>
      </c>
      <c r="I1604" s="7"/>
      <c r="J1604" s="8"/>
      <c r="K1604" s="9"/>
    </row>
    <row r="1605" spans="1:11" x14ac:dyDescent="0.25">
      <c r="A1605" t="str">
        <f>"49702022418"</f>
        <v>49702022418</v>
      </c>
      <c r="B1605" t="s">
        <v>2205</v>
      </c>
      <c r="C1605" t="s">
        <v>2206</v>
      </c>
      <c r="D1605">
        <v>60</v>
      </c>
      <c r="E1605" s="10" t="s">
        <v>11</v>
      </c>
      <c r="F1605" s="11">
        <v>300</v>
      </c>
      <c r="G1605">
        <v>60</v>
      </c>
      <c r="I1605" s="12"/>
      <c r="J1605" s="8"/>
      <c r="K1605" s="13"/>
    </row>
    <row r="1606" spans="1:11" x14ac:dyDescent="0.25">
      <c r="A1606" s="3" t="str">
        <f>"00904652261"</f>
        <v>00904652261</v>
      </c>
      <c r="B1606" s="3" t="s">
        <v>2207</v>
      </c>
      <c r="C1606" s="3" t="s">
        <v>2208</v>
      </c>
      <c r="D1606" s="3">
        <v>100</v>
      </c>
      <c r="E1606" s="4" t="s">
        <v>2209</v>
      </c>
      <c r="F1606" s="5">
        <v>8.6</v>
      </c>
      <c r="G1606" s="3">
        <v>100</v>
      </c>
      <c r="I1606" s="7"/>
      <c r="J1606" s="8"/>
      <c r="K1606" s="9"/>
    </row>
    <row r="1607" spans="1:11" x14ac:dyDescent="0.25">
      <c r="A1607" t="str">
        <f>"00603028221"</f>
        <v>00603028221</v>
      </c>
      <c r="B1607" t="s">
        <v>2207</v>
      </c>
      <c r="C1607" t="s">
        <v>2210</v>
      </c>
      <c r="D1607">
        <v>100</v>
      </c>
      <c r="G1607">
        <v>100</v>
      </c>
      <c r="I1607" s="12"/>
      <c r="J1607" s="8"/>
      <c r="K1607" s="13"/>
    </row>
    <row r="1608" spans="1:11" x14ac:dyDescent="0.25">
      <c r="A1608" s="3" t="str">
        <f>"00904628909"</f>
        <v>00904628909</v>
      </c>
      <c r="B1608" s="3" t="s">
        <v>2207</v>
      </c>
      <c r="C1608" s="3" t="s">
        <v>2211</v>
      </c>
      <c r="D1608" s="3">
        <v>237</v>
      </c>
      <c r="E1608" s="4"/>
      <c r="F1608" s="5"/>
      <c r="G1608" s="3">
        <v>237</v>
      </c>
      <c r="I1608" s="7"/>
      <c r="J1608" s="8"/>
      <c r="K1608" s="9"/>
    </row>
    <row r="1609" spans="1:11" x14ac:dyDescent="0.25">
      <c r="A1609" t="str">
        <f>"55513007330"</f>
        <v>55513007330</v>
      </c>
      <c r="B1609" t="s">
        <v>2212</v>
      </c>
      <c r="C1609" t="s">
        <v>2213</v>
      </c>
      <c r="D1609">
        <v>30</v>
      </c>
      <c r="E1609" s="10" t="s">
        <v>11</v>
      </c>
      <c r="F1609" s="11">
        <v>30</v>
      </c>
      <c r="G1609">
        <v>30</v>
      </c>
      <c r="I1609" s="12"/>
      <c r="J1609" s="8"/>
      <c r="K1609" s="13"/>
    </row>
    <row r="1610" spans="1:11" x14ac:dyDescent="0.25">
      <c r="A1610" s="3" t="str">
        <f>"00310028360"</f>
        <v>00310028360</v>
      </c>
      <c r="B1610" s="3" t="s">
        <v>2113</v>
      </c>
      <c r="C1610" s="3" t="s">
        <v>2214</v>
      </c>
      <c r="D1610" s="3">
        <v>60</v>
      </c>
      <c r="E1610" s="4" t="s">
        <v>11</v>
      </c>
      <c r="F1610" s="5">
        <v>300</v>
      </c>
      <c r="G1610" s="3">
        <v>60</v>
      </c>
      <c r="I1610" s="7"/>
      <c r="J1610" s="8"/>
      <c r="K1610" s="9"/>
    </row>
    <row r="1611" spans="1:11" x14ac:dyDescent="0.25">
      <c r="A1611" t="str">
        <f>"31722021230"</f>
        <v>31722021230</v>
      </c>
      <c r="B1611" t="s">
        <v>2215</v>
      </c>
      <c r="C1611" t="s">
        <v>2216</v>
      </c>
      <c r="D1611">
        <v>30</v>
      </c>
      <c r="E1611" s="10" t="s">
        <v>11</v>
      </c>
      <c r="F1611" s="11">
        <v>25</v>
      </c>
      <c r="G1611">
        <v>30</v>
      </c>
      <c r="I1611" s="12"/>
      <c r="J1611" s="8"/>
      <c r="K1611" s="13"/>
    </row>
    <row r="1612" spans="1:11" x14ac:dyDescent="0.25">
      <c r="A1612" s="3" t="str">
        <f>"31722021205"</f>
        <v>31722021205</v>
      </c>
      <c r="B1612" s="3" t="s">
        <v>2215</v>
      </c>
      <c r="C1612" s="3" t="s">
        <v>2217</v>
      </c>
      <c r="D1612" s="3">
        <v>500</v>
      </c>
      <c r="E1612" s="4" t="s">
        <v>11</v>
      </c>
      <c r="F1612" s="5">
        <v>25</v>
      </c>
      <c r="G1612" s="3">
        <v>500</v>
      </c>
      <c r="I1612" s="7"/>
      <c r="J1612" s="8"/>
      <c r="K1612" s="9"/>
    </row>
    <row r="1613" spans="1:11" x14ac:dyDescent="0.25">
      <c r="A1613" t="str">
        <f>"60687023101"</f>
        <v>60687023101</v>
      </c>
      <c r="B1613" t="s">
        <v>2215</v>
      </c>
      <c r="C1613" t="s">
        <v>2218</v>
      </c>
      <c r="D1613">
        <v>100</v>
      </c>
      <c r="E1613" s="10" t="s">
        <v>11</v>
      </c>
      <c r="F1613" s="11">
        <v>25</v>
      </c>
      <c r="G1613">
        <v>100</v>
      </c>
      <c r="I1613" s="12"/>
      <c r="J1613" s="8"/>
      <c r="K1613" s="13"/>
    </row>
    <row r="1614" spans="1:11" x14ac:dyDescent="0.25">
      <c r="A1614" s="3" t="str">
        <f>"59762490003"</f>
        <v>59762490003</v>
      </c>
      <c r="B1614" s="3" t="s">
        <v>2215</v>
      </c>
      <c r="C1614" s="3" t="s">
        <v>2219</v>
      </c>
      <c r="D1614" s="3">
        <v>100</v>
      </c>
      <c r="E1614" s="4" t="s">
        <v>11</v>
      </c>
      <c r="F1614" s="5">
        <v>50</v>
      </c>
      <c r="G1614" s="3">
        <v>100</v>
      </c>
      <c r="I1614" s="7"/>
      <c r="J1614" s="8"/>
      <c r="K1614" s="9"/>
    </row>
    <row r="1615" spans="1:11" x14ac:dyDescent="0.25">
      <c r="A1615" t="str">
        <f>"59762490005"</f>
        <v>59762490005</v>
      </c>
      <c r="B1615" t="s">
        <v>2215</v>
      </c>
      <c r="C1615" t="s">
        <v>2220</v>
      </c>
      <c r="D1615">
        <v>500</v>
      </c>
      <c r="E1615" s="10" t="s">
        <v>11</v>
      </c>
      <c r="F1615" s="11">
        <v>50</v>
      </c>
      <c r="G1615">
        <v>500</v>
      </c>
      <c r="I1615" s="12"/>
      <c r="J1615" s="8"/>
      <c r="K1615" s="13"/>
    </row>
    <row r="1616" spans="1:11" x14ac:dyDescent="0.25">
      <c r="A1616" s="3" t="str">
        <f>"59762490002"</f>
        <v>59762490002</v>
      </c>
      <c r="B1616" s="3" t="s">
        <v>2215</v>
      </c>
      <c r="C1616" s="3" t="s">
        <v>2221</v>
      </c>
      <c r="D1616" s="3">
        <v>5000</v>
      </c>
      <c r="E1616" s="4" t="s">
        <v>11</v>
      </c>
      <c r="F1616" s="5">
        <v>50</v>
      </c>
      <c r="G1616" s="3">
        <v>5000</v>
      </c>
      <c r="I1616" s="7"/>
      <c r="J1616" s="8"/>
      <c r="K1616" s="9"/>
    </row>
    <row r="1617" spans="1:11" x14ac:dyDescent="0.25">
      <c r="A1617" t="str">
        <f>"60687024201"</f>
        <v>60687024201</v>
      </c>
      <c r="B1617" t="s">
        <v>2215</v>
      </c>
      <c r="C1617" t="s">
        <v>2222</v>
      </c>
      <c r="D1617">
        <v>100</v>
      </c>
      <c r="E1617" s="10" t="s">
        <v>11</v>
      </c>
      <c r="F1617" s="11">
        <v>50</v>
      </c>
      <c r="G1617">
        <v>100</v>
      </c>
      <c r="I1617" s="12"/>
      <c r="J1617" s="8"/>
      <c r="K1617" s="13"/>
    </row>
    <row r="1618" spans="1:11" x14ac:dyDescent="0.25">
      <c r="A1618" s="3" t="str">
        <f>"69097083302"</f>
        <v>69097083302</v>
      </c>
      <c r="B1618" s="3" t="s">
        <v>2215</v>
      </c>
      <c r="C1618" s="3" t="s">
        <v>2223</v>
      </c>
      <c r="D1618" s="3">
        <v>30</v>
      </c>
      <c r="E1618" s="4" t="s">
        <v>11</v>
      </c>
      <c r="F1618" s="5">
        <v>25</v>
      </c>
      <c r="G1618" s="3">
        <v>30</v>
      </c>
      <c r="I1618" s="7"/>
      <c r="J1618" s="8"/>
      <c r="K1618" s="9"/>
    </row>
    <row r="1619" spans="1:11" x14ac:dyDescent="0.25">
      <c r="A1619" t="str">
        <f>"69097083312"</f>
        <v>69097083312</v>
      </c>
      <c r="B1619" t="s">
        <v>2215</v>
      </c>
      <c r="C1619" t="s">
        <v>2224</v>
      </c>
      <c r="D1619">
        <v>500</v>
      </c>
      <c r="E1619" s="10" t="s">
        <v>11</v>
      </c>
      <c r="F1619" s="11">
        <v>25</v>
      </c>
      <c r="G1619">
        <v>500</v>
      </c>
      <c r="I1619" s="12"/>
      <c r="J1619" s="8"/>
      <c r="K1619" s="13"/>
    </row>
    <row r="1620" spans="1:11" x14ac:dyDescent="0.25">
      <c r="A1620" s="3" t="str">
        <f>"69097083305"</f>
        <v>69097083305</v>
      </c>
      <c r="B1620" s="3" t="s">
        <v>2215</v>
      </c>
      <c r="C1620" s="3" t="s">
        <v>2225</v>
      </c>
      <c r="D1620" s="3">
        <v>90</v>
      </c>
      <c r="E1620" s="4" t="s">
        <v>11</v>
      </c>
      <c r="F1620" s="5">
        <v>25</v>
      </c>
      <c r="G1620" s="3">
        <v>90</v>
      </c>
      <c r="I1620" s="7"/>
      <c r="J1620" s="8"/>
      <c r="K1620" s="9"/>
    </row>
    <row r="1621" spans="1:11" x14ac:dyDescent="0.25">
      <c r="A1621" t="str">
        <f>"59762491003"</f>
        <v>59762491003</v>
      </c>
      <c r="B1621" t="s">
        <v>2215</v>
      </c>
      <c r="C1621" t="s">
        <v>2226</v>
      </c>
      <c r="D1621">
        <v>100</v>
      </c>
      <c r="E1621" s="10" t="s">
        <v>11</v>
      </c>
      <c r="F1621" s="11">
        <v>100</v>
      </c>
      <c r="G1621">
        <v>100</v>
      </c>
      <c r="I1621" s="12"/>
      <c r="J1621" s="8"/>
      <c r="K1621" s="13"/>
    </row>
    <row r="1622" spans="1:11" x14ac:dyDescent="0.25">
      <c r="A1622" s="3" t="str">
        <f>"59762491005"</f>
        <v>59762491005</v>
      </c>
      <c r="B1622" s="3" t="s">
        <v>2215</v>
      </c>
      <c r="C1622" s="3" t="s">
        <v>2227</v>
      </c>
      <c r="D1622" s="3">
        <v>500</v>
      </c>
      <c r="E1622" s="4" t="s">
        <v>11</v>
      </c>
      <c r="F1622" s="5">
        <v>100</v>
      </c>
      <c r="G1622" s="3">
        <v>500</v>
      </c>
      <c r="I1622" s="7"/>
      <c r="J1622" s="8"/>
      <c r="K1622" s="9"/>
    </row>
    <row r="1623" spans="1:11" x14ac:dyDescent="0.25">
      <c r="A1623" t="str">
        <f>"59762491002"</f>
        <v>59762491002</v>
      </c>
      <c r="B1623" t="s">
        <v>2215</v>
      </c>
      <c r="C1623" t="s">
        <v>2228</v>
      </c>
      <c r="D1623">
        <v>5000</v>
      </c>
      <c r="E1623" s="10" t="s">
        <v>11</v>
      </c>
      <c r="F1623" s="11">
        <v>100</v>
      </c>
      <c r="G1623">
        <v>5000</v>
      </c>
      <c r="I1623" s="12"/>
      <c r="J1623" s="8"/>
      <c r="K1623" s="13"/>
    </row>
    <row r="1624" spans="1:11" x14ac:dyDescent="0.25">
      <c r="A1624" s="3" t="str">
        <f>"67877012405"</f>
        <v>67877012405</v>
      </c>
      <c r="B1624" s="3" t="s">
        <v>2229</v>
      </c>
      <c r="C1624" s="3" t="s">
        <v>2230</v>
      </c>
      <c r="D1624" s="3">
        <v>50</v>
      </c>
      <c r="E1624" s="4" t="s">
        <v>2231</v>
      </c>
      <c r="F1624" s="5">
        <v>0.01</v>
      </c>
      <c r="G1624" s="3">
        <v>50</v>
      </c>
      <c r="I1624" s="7"/>
      <c r="J1624" s="8"/>
      <c r="K1624" s="9"/>
    </row>
    <row r="1625" spans="1:11" x14ac:dyDescent="0.25">
      <c r="A1625" t="str">
        <f>"00065414727"</f>
        <v>00065414727</v>
      </c>
      <c r="B1625" t="s">
        <v>2232</v>
      </c>
      <c r="C1625" t="s">
        <v>2233</v>
      </c>
      <c r="D1625">
        <v>8</v>
      </c>
      <c r="G1625">
        <v>8</v>
      </c>
      <c r="I1625" s="12"/>
      <c r="J1625" s="8"/>
      <c r="K1625" s="13"/>
    </row>
    <row r="1626" spans="1:11" x14ac:dyDescent="0.25">
      <c r="A1626" s="3" t="str">
        <f>"63739022510"</f>
        <v>63739022510</v>
      </c>
      <c r="B1626" s="3" t="s">
        <v>1625</v>
      </c>
      <c r="C1626" s="3" t="s">
        <v>2234</v>
      </c>
      <c r="D1626" s="3">
        <v>100</v>
      </c>
      <c r="E1626" s="4" t="s">
        <v>11</v>
      </c>
      <c r="F1626" s="5">
        <v>80</v>
      </c>
      <c r="G1626" s="3">
        <v>100</v>
      </c>
      <c r="I1626" s="7"/>
      <c r="J1626" s="8"/>
      <c r="K1626" s="9"/>
    </row>
    <row r="1627" spans="1:11" x14ac:dyDescent="0.25">
      <c r="A1627" t="str">
        <f>"57894007002"</f>
        <v>57894007002</v>
      </c>
      <c r="B1627" t="s">
        <v>2235</v>
      </c>
      <c r="C1627" t="s">
        <v>2236</v>
      </c>
      <c r="D1627">
        <v>0</v>
      </c>
      <c r="E1627" s="10" t="s">
        <v>11</v>
      </c>
      <c r="F1627" s="11">
        <v>50</v>
      </c>
      <c r="G1627">
        <v>0.5</v>
      </c>
      <c r="I1627" s="12"/>
      <c r="J1627" s="8"/>
      <c r="K1627" s="13"/>
    </row>
    <row r="1628" spans="1:11" x14ac:dyDescent="0.25">
      <c r="A1628" s="3" t="str">
        <f>"68382006616"</f>
        <v>68382006616</v>
      </c>
      <c r="B1628" s="3" t="s">
        <v>2237</v>
      </c>
      <c r="C1628" s="3" t="s">
        <v>2238</v>
      </c>
      <c r="D1628" s="3">
        <v>90</v>
      </c>
      <c r="E1628" s="4" t="s">
        <v>11</v>
      </c>
      <c r="F1628" s="5">
        <v>10</v>
      </c>
      <c r="G1628" s="3">
        <v>90</v>
      </c>
      <c r="I1628" s="7"/>
      <c r="J1628" s="8"/>
      <c r="K1628" s="9"/>
    </row>
    <row r="1629" spans="1:11" x14ac:dyDescent="0.25">
      <c r="A1629" t="str">
        <f>"55111065301"</f>
        <v>55111065301</v>
      </c>
      <c r="B1629" t="s">
        <v>2239</v>
      </c>
      <c r="C1629" t="s">
        <v>2240</v>
      </c>
      <c r="D1629">
        <v>100</v>
      </c>
      <c r="E1629" s="10" t="s">
        <v>11</v>
      </c>
      <c r="F1629" s="11">
        <v>1</v>
      </c>
      <c r="G1629">
        <v>100</v>
      </c>
      <c r="I1629" s="12"/>
      <c r="J1629" s="8"/>
      <c r="K1629" s="13"/>
    </row>
    <row r="1630" spans="1:11" x14ac:dyDescent="0.25">
      <c r="A1630" s="3" t="str">
        <f>"00223176001"</f>
        <v>00223176001</v>
      </c>
      <c r="B1630" s="3" t="s">
        <v>644</v>
      </c>
      <c r="C1630" s="3" t="s">
        <v>2241</v>
      </c>
      <c r="D1630" s="3">
        <v>100</v>
      </c>
      <c r="E1630" s="4" t="s">
        <v>48</v>
      </c>
      <c r="F1630" s="5">
        <v>1</v>
      </c>
      <c r="G1630" s="3">
        <v>100</v>
      </c>
      <c r="I1630" s="7"/>
      <c r="J1630" s="8"/>
      <c r="K1630" s="9"/>
    </row>
    <row r="1631" spans="1:11" x14ac:dyDescent="0.25">
      <c r="A1631" t="str">
        <f>"00223172101"</f>
        <v>00223172101</v>
      </c>
      <c r="B1631" t="s">
        <v>2242</v>
      </c>
      <c r="C1631" t="s">
        <v>2243</v>
      </c>
      <c r="D1631">
        <v>100</v>
      </c>
      <c r="E1631" s="10" t="s">
        <v>174</v>
      </c>
      <c r="F1631" s="11">
        <v>10</v>
      </c>
      <c r="G1631">
        <v>100</v>
      </c>
      <c r="I1631" s="12"/>
      <c r="J1631" s="8"/>
      <c r="K1631" s="13"/>
    </row>
    <row r="1632" spans="1:11" x14ac:dyDescent="0.25">
      <c r="A1632" s="3" t="str">
        <f>"00395268594"</f>
        <v>00395268594</v>
      </c>
      <c r="B1632" s="3" t="s">
        <v>2242</v>
      </c>
      <c r="C1632" s="3" t="s">
        <v>2244</v>
      </c>
      <c r="D1632" s="3">
        <v>4</v>
      </c>
      <c r="E1632" s="4"/>
      <c r="F1632" s="5"/>
      <c r="G1632" s="3">
        <v>120</v>
      </c>
      <c r="I1632" s="7"/>
      <c r="J1632" s="8"/>
      <c r="K1632" s="9"/>
    </row>
    <row r="1633" spans="1:11" x14ac:dyDescent="0.25">
      <c r="A1633" t="str">
        <f>"00264220100"</f>
        <v>00264220100</v>
      </c>
      <c r="B1633" t="s">
        <v>2245</v>
      </c>
      <c r="C1633" t="s">
        <v>2246</v>
      </c>
      <c r="D1633">
        <v>16000</v>
      </c>
      <c r="E1633" s="10" t="s">
        <v>43</v>
      </c>
      <c r="F1633" s="11">
        <v>0.9</v>
      </c>
      <c r="G1633">
        <v>1000</v>
      </c>
      <c r="I1633" s="12"/>
      <c r="J1633" s="8"/>
      <c r="K1633" s="13"/>
    </row>
    <row r="1634" spans="1:11" x14ac:dyDescent="0.25">
      <c r="A1634" s="3" t="str">
        <f>"00338004903"</f>
        <v>00338004903</v>
      </c>
      <c r="B1634" s="3" t="s">
        <v>2247</v>
      </c>
      <c r="C1634" s="3" t="s">
        <v>2248</v>
      </c>
      <c r="D1634" s="3">
        <v>12000</v>
      </c>
      <c r="E1634" s="4" t="s">
        <v>43</v>
      </c>
      <c r="F1634" s="5">
        <v>0.9</v>
      </c>
      <c r="G1634" s="3">
        <v>500</v>
      </c>
      <c r="I1634" s="7"/>
      <c r="J1634" s="8"/>
      <c r="K1634" s="9"/>
    </row>
    <row r="1635" spans="1:11" x14ac:dyDescent="0.25">
      <c r="A1635" t="str">
        <f>"00338004941"</f>
        <v>00338004941</v>
      </c>
      <c r="B1635" t="s">
        <v>2247</v>
      </c>
      <c r="C1635" t="s">
        <v>2249</v>
      </c>
      <c r="D1635">
        <v>4800</v>
      </c>
      <c r="E1635" s="10" t="s">
        <v>2250</v>
      </c>
      <c r="F1635" s="11">
        <v>0.9</v>
      </c>
      <c r="G1635">
        <v>50</v>
      </c>
      <c r="I1635" s="12"/>
      <c r="J1635" s="8"/>
      <c r="K1635" s="13"/>
    </row>
    <row r="1636" spans="1:11" x14ac:dyDescent="0.25">
      <c r="A1636" s="3" t="str">
        <f>"00338055318"</f>
        <v>00338055318</v>
      </c>
      <c r="B1636" s="3" t="s">
        <v>2247</v>
      </c>
      <c r="C1636" s="3" t="s">
        <v>2252</v>
      </c>
      <c r="D1636" s="3">
        <v>8000</v>
      </c>
      <c r="E1636" s="4" t="s">
        <v>2253</v>
      </c>
      <c r="F1636" s="5">
        <v>8.9999999999999993E-3</v>
      </c>
      <c r="G1636" s="3">
        <v>100</v>
      </c>
      <c r="I1636" s="7"/>
      <c r="J1636" s="8"/>
      <c r="K1636" s="9"/>
    </row>
    <row r="1637" spans="1:11" x14ac:dyDescent="0.25">
      <c r="A1637" t="str">
        <f>"17478062235"</f>
        <v>17478062235</v>
      </c>
      <c r="B1637" t="s">
        <v>644</v>
      </c>
      <c r="C1637" t="s">
        <v>2251</v>
      </c>
      <c r="D1637">
        <v>3.5</v>
      </c>
      <c r="E1637" s="10" t="s">
        <v>43</v>
      </c>
      <c r="F1637" s="11">
        <v>5</v>
      </c>
      <c r="G1637">
        <v>3.5</v>
      </c>
      <c r="I1637" s="12"/>
      <c r="J1637" s="8"/>
      <c r="K1637" s="13"/>
    </row>
    <row r="1638" spans="1:11" x14ac:dyDescent="0.25">
      <c r="A1638" s="3" t="str">
        <f>"00121059516"</f>
        <v>00121059516</v>
      </c>
      <c r="B1638" s="3" t="s">
        <v>2254</v>
      </c>
      <c r="C1638" s="3" t="s">
        <v>2255</v>
      </c>
      <c r="D1638" s="3">
        <v>16</v>
      </c>
      <c r="E1638" s="4" t="s">
        <v>2256</v>
      </c>
      <c r="F1638" s="5" t="s">
        <v>2257</v>
      </c>
      <c r="G1638" s="3">
        <v>473</v>
      </c>
      <c r="I1638" s="7"/>
      <c r="J1638" s="8"/>
      <c r="K1638" s="9"/>
    </row>
    <row r="1639" spans="1:11" x14ac:dyDescent="0.25">
      <c r="A1639" t="str">
        <f>"00054037951"</f>
        <v>00054037951</v>
      </c>
      <c r="B1639" t="s">
        <v>2258</v>
      </c>
      <c r="C1639" t="s">
        <v>2259</v>
      </c>
      <c r="D1639">
        <v>600</v>
      </c>
      <c r="E1639" s="10" t="s">
        <v>1539</v>
      </c>
      <c r="F1639" s="11" t="s">
        <v>2260</v>
      </c>
      <c r="G1639">
        <v>60</v>
      </c>
      <c r="I1639" s="12"/>
      <c r="J1639" s="8"/>
      <c r="K1639" s="13"/>
    </row>
    <row r="1640" spans="1:11" x14ac:dyDescent="0.25">
      <c r="A1640" s="3" t="str">
        <f>"00574200302"</f>
        <v>00574200302</v>
      </c>
      <c r="B1640" s="3" t="s">
        <v>2258</v>
      </c>
      <c r="C1640" s="3" t="s">
        <v>2259</v>
      </c>
      <c r="D1640" s="3">
        <v>600</v>
      </c>
      <c r="E1640" s="4" t="s">
        <v>1539</v>
      </c>
      <c r="F1640" s="5" t="s">
        <v>2260</v>
      </c>
      <c r="G1640" s="3">
        <v>60</v>
      </c>
      <c r="I1640" s="7"/>
      <c r="J1640" s="8"/>
      <c r="K1640" s="9"/>
    </row>
    <row r="1641" spans="1:11" x14ac:dyDescent="0.25">
      <c r="A1641" t="str">
        <f>"00009004722"</f>
        <v>00009004722</v>
      </c>
      <c r="B1641" t="s">
        <v>2261</v>
      </c>
      <c r="C1641" t="s">
        <v>2262</v>
      </c>
      <c r="D1641">
        <v>50</v>
      </c>
      <c r="E1641" s="10" t="s">
        <v>11</v>
      </c>
      <c r="F1641" s="11">
        <v>125</v>
      </c>
      <c r="G1641">
        <v>1</v>
      </c>
      <c r="I1641" s="12"/>
      <c r="J1641" s="8"/>
      <c r="K1641" s="13"/>
    </row>
    <row r="1642" spans="1:11" x14ac:dyDescent="0.25">
      <c r="A1642" s="3" t="str">
        <f>"54162070016"</f>
        <v>54162070016</v>
      </c>
      <c r="B1642" s="3" t="s">
        <v>2263</v>
      </c>
      <c r="C1642" s="3" t="s">
        <v>2264</v>
      </c>
      <c r="D1642" s="3">
        <v>16</v>
      </c>
      <c r="E1642" s="4" t="s">
        <v>43</v>
      </c>
      <c r="F1642" s="5">
        <v>70</v>
      </c>
      <c r="G1642" s="3">
        <v>474</v>
      </c>
      <c r="I1642" s="7"/>
      <c r="J1642" s="8"/>
      <c r="K1642" s="9"/>
    </row>
    <row r="1643" spans="1:11" x14ac:dyDescent="0.25">
      <c r="A1643" t="str">
        <f>"00603090058"</f>
        <v>00603090058</v>
      </c>
      <c r="B1643" t="s">
        <v>2263</v>
      </c>
      <c r="C1643" t="s">
        <v>2265</v>
      </c>
      <c r="D1643">
        <v>16</v>
      </c>
      <c r="E1643" s="10" t="s">
        <v>43</v>
      </c>
      <c r="F1643" s="11">
        <v>70</v>
      </c>
      <c r="G1643">
        <v>473</v>
      </c>
      <c r="I1643" s="12"/>
      <c r="J1643" s="8"/>
      <c r="K1643" s="13"/>
    </row>
    <row r="1644" spans="1:11" x14ac:dyDescent="0.25">
      <c r="A1644" s="3" t="str">
        <f>"00603576921"</f>
        <v>00603576921</v>
      </c>
      <c r="B1644" s="3" t="s">
        <v>2266</v>
      </c>
      <c r="C1644" s="3" t="s">
        <v>2267</v>
      </c>
      <c r="D1644" s="3">
        <v>100</v>
      </c>
      <c r="E1644" s="4" t="s">
        <v>11</v>
      </c>
      <c r="F1644" s="5">
        <v>80</v>
      </c>
      <c r="G1644" s="3">
        <v>100</v>
      </c>
      <c r="I1644" s="7"/>
      <c r="J1644" s="8"/>
      <c r="K1644" s="9"/>
    </row>
    <row r="1645" spans="1:11" x14ac:dyDescent="0.25">
      <c r="A1645" t="str">
        <f>"28595057004"</f>
        <v>28595057004</v>
      </c>
      <c r="B1645" t="s">
        <v>2268</v>
      </c>
      <c r="C1645" t="s">
        <v>2269</v>
      </c>
      <c r="D1645">
        <v>120</v>
      </c>
      <c r="E1645" s="10" t="s">
        <v>2270</v>
      </c>
      <c r="F1645" s="11">
        <v>0.9</v>
      </c>
      <c r="G1645">
        <v>120</v>
      </c>
      <c r="I1645" s="12"/>
      <c r="J1645" s="8"/>
      <c r="K1645" s="13"/>
    </row>
    <row r="1646" spans="1:11" x14ac:dyDescent="0.25">
      <c r="A1646" s="3" t="str">
        <f>"00597007541"</f>
        <v>00597007541</v>
      </c>
      <c r="B1646" s="3" t="s">
        <v>2271</v>
      </c>
      <c r="C1646" s="3" t="s">
        <v>2272</v>
      </c>
      <c r="D1646" s="3">
        <v>30</v>
      </c>
      <c r="E1646" s="4" t="s">
        <v>2273</v>
      </c>
      <c r="F1646" s="5">
        <v>18</v>
      </c>
      <c r="G1646" s="3">
        <v>30</v>
      </c>
      <c r="I1646" s="7"/>
      <c r="J1646" s="8"/>
      <c r="K1646" s="9"/>
    </row>
    <row r="1647" spans="1:11" x14ac:dyDescent="0.25">
      <c r="A1647" t="str">
        <f>"53746051501"</f>
        <v>53746051501</v>
      </c>
      <c r="B1647" t="s">
        <v>2274</v>
      </c>
      <c r="C1647" t="s">
        <v>2275</v>
      </c>
      <c r="D1647">
        <v>100</v>
      </c>
      <c r="E1647" s="10" t="s">
        <v>11</v>
      </c>
      <c r="F1647" s="11">
        <v>100</v>
      </c>
      <c r="G1647">
        <v>100</v>
      </c>
      <c r="I1647" s="12"/>
      <c r="J1647" s="8"/>
      <c r="K1647" s="13"/>
    </row>
    <row r="1648" spans="1:11" x14ac:dyDescent="0.25">
      <c r="A1648" s="3" t="str">
        <f>"53746051505"</f>
        <v>53746051505</v>
      </c>
      <c r="B1648" s="3" t="s">
        <v>2274</v>
      </c>
      <c r="C1648" s="3" t="s">
        <v>2276</v>
      </c>
      <c r="D1648" s="3">
        <v>500</v>
      </c>
      <c r="E1648" s="4" t="s">
        <v>11</v>
      </c>
      <c r="F1648" s="5">
        <v>100</v>
      </c>
      <c r="G1648" s="3">
        <v>500</v>
      </c>
      <c r="I1648" s="7"/>
      <c r="J1648" s="8"/>
      <c r="K1648" s="9"/>
    </row>
    <row r="1649" spans="1:11" x14ac:dyDescent="0.25">
      <c r="A1649" t="str">
        <f>"53746051101"</f>
        <v>53746051101</v>
      </c>
      <c r="B1649" t="s">
        <v>2274</v>
      </c>
      <c r="C1649" t="s">
        <v>2277</v>
      </c>
      <c r="D1649">
        <v>100</v>
      </c>
      <c r="E1649" s="10" t="s">
        <v>11</v>
      </c>
      <c r="F1649" s="11">
        <v>25</v>
      </c>
      <c r="G1649">
        <v>100</v>
      </c>
      <c r="I1649" s="12"/>
      <c r="J1649" s="8"/>
      <c r="K1649" s="13"/>
    </row>
    <row r="1650" spans="1:11" x14ac:dyDescent="0.25">
      <c r="A1650" s="3" t="str">
        <f>"53746051110"</f>
        <v>53746051110</v>
      </c>
      <c r="B1650" s="3" t="s">
        <v>2274</v>
      </c>
      <c r="C1650" s="3" t="s">
        <v>2278</v>
      </c>
      <c r="D1650" s="3">
        <v>1000</v>
      </c>
      <c r="E1650" s="4" t="s">
        <v>11</v>
      </c>
      <c r="F1650" s="5">
        <v>25</v>
      </c>
      <c r="G1650" s="3">
        <v>1000</v>
      </c>
      <c r="I1650" s="7"/>
      <c r="J1650" s="8"/>
      <c r="K1650" s="9"/>
    </row>
    <row r="1651" spans="1:11" x14ac:dyDescent="0.25">
      <c r="A1651" t="str">
        <f>"51079098020"</f>
        <v>51079098020</v>
      </c>
      <c r="B1651" t="s">
        <v>2274</v>
      </c>
      <c r="C1651" t="s">
        <v>2279</v>
      </c>
      <c r="D1651">
        <v>100</v>
      </c>
      <c r="E1651" s="10" t="s">
        <v>11</v>
      </c>
      <c r="F1651" s="11">
        <v>100</v>
      </c>
      <c r="G1651">
        <v>100</v>
      </c>
      <c r="I1651" s="12"/>
      <c r="J1651" s="8"/>
      <c r="K1651" s="13"/>
    </row>
    <row r="1652" spans="1:11" x14ac:dyDescent="0.25">
      <c r="A1652" s="3" t="str">
        <f>"68084020601"</f>
        <v>68084020601</v>
      </c>
      <c r="B1652" s="3" t="s">
        <v>2274</v>
      </c>
      <c r="C1652" s="3" t="s">
        <v>2280</v>
      </c>
      <c r="D1652" s="3">
        <v>100</v>
      </c>
      <c r="E1652" s="4" t="s">
        <v>11</v>
      </c>
      <c r="F1652" s="5">
        <v>25</v>
      </c>
      <c r="G1652" s="3">
        <v>100</v>
      </c>
      <c r="I1652" s="7"/>
      <c r="J1652" s="8"/>
      <c r="K1652" s="9"/>
    </row>
    <row r="1653" spans="1:11" x14ac:dyDescent="0.25">
      <c r="A1653" t="str">
        <f>"00228280350"</f>
        <v>00228280350</v>
      </c>
      <c r="B1653" t="s">
        <v>2274</v>
      </c>
      <c r="C1653" t="s">
        <v>2281</v>
      </c>
      <c r="D1653">
        <v>500</v>
      </c>
      <c r="E1653" s="10" t="s">
        <v>11</v>
      </c>
      <c r="F1653" s="11">
        <v>25</v>
      </c>
      <c r="G1653">
        <v>500</v>
      </c>
      <c r="I1653" s="12"/>
      <c r="J1653" s="8"/>
      <c r="K1653" s="13"/>
    </row>
    <row r="1654" spans="1:11" x14ac:dyDescent="0.25">
      <c r="A1654" s="3" t="str">
        <f>"00003052411"</f>
        <v>00003052411</v>
      </c>
      <c r="B1654" s="3" t="s">
        <v>2282</v>
      </c>
      <c r="C1654" s="3" t="s">
        <v>2283</v>
      </c>
      <c r="D1654" s="3">
        <v>60</v>
      </c>
      <c r="E1654" s="4" t="s">
        <v>11</v>
      </c>
      <c r="F1654" s="5">
        <v>70</v>
      </c>
      <c r="G1654" s="3">
        <v>60</v>
      </c>
      <c r="I1654" s="7"/>
      <c r="J1654" s="8"/>
      <c r="K1654" s="9"/>
    </row>
    <row r="1655" spans="1:11" x14ac:dyDescent="0.25">
      <c r="A1655" t="str">
        <f>"31722051860"</f>
        <v>31722051860</v>
      </c>
      <c r="B1655" t="s">
        <v>2284</v>
      </c>
      <c r="C1655" t="s">
        <v>2285</v>
      </c>
      <c r="D1655">
        <v>60</v>
      </c>
      <c r="E1655" s="10" t="s">
        <v>11</v>
      </c>
      <c r="F1655" s="11">
        <v>40</v>
      </c>
      <c r="G1655">
        <v>60</v>
      </c>
      <c r="I1655" s="12"/>
      <c r="J1655" s="8"/>
      <c r="K1655" s="13"/>
    </row>
    <row r="1656" spans="1:11" x14ac:dyDescent="0.25">
      <c r="A1656" s="3" t="str">
        <f>"57894006003"</f>
        <v>57894006003</v>
      </c>
      <c r="B1656" s="3" t="s">
        <v>2286</v>
      </c>
      <c r="C1656" s="3" t="s">
        <v>2287</v>
      </c>
      <c r="D1656" s="3">
        <v>0.5</v>
      </c>
      <c r="E1656" s="4" t="s">
        <v>11</v>
      </c>
      <c r="F1656" s="5">
        <v>45</v>
      </c>
      <c r="G1656" s="3">
        <v>0.5</v>
      </c>
      <c r="I1656" s="7"/>
      <c r="J1656" s="8"/>
      <c r="K1656" s="9"/>
    </row>
    <row r="1657" spans="1:11" x14ac:dyDescent="0.25">
      <c r="A1657" t="str">
        <f>"57894006103"</f>
        <v>57894006103</v>
      </c>
      <c r="B1657" t="s">
        <v>2286</v>
      </c>
      <c r="C1657" t="s">
        <v>2288</v>
      </c>
      <c r="D1657">
        <v>1</v>
      </c>
      <c r="E1657" s="10" t="s">
        <v>11</v>
      </c>
      <c r="F1657" s="11">
        <v>90</v>
      </c>
      <c r="G1657">
        <v>1</v>
      </c>
      <c r="I1657" s="12"/>
      <c r="J1657" s="8"/>
      <c r="K1657" s="13"/>
    </row>
    <row r="1658" spans="1:11" x14ac:dyDescent="0.25">
      <c r="A1658" s="3" t="str">
        <f>"50419017103"</f>
        <v>50419017103</v>
      </c>
      <c r="B1658" s="3" t="s">
        <v>2289</v>
      </c>
      <c r="C1658" s="3" t="s">
        <v>2290</v>
      </c>
      <c r="D1658" s="3">
        <v>84</v>
      </c>
      <c r="E1658" s="4" t="s">
        <v>11</v>
      </c>
      <c r="F1658" s="5">
        <v>40</v>
      </c>
      <c r="G1658" s="3">
        <v>28</v>
      </c>
      <c r="I1658" s="7"/>
      <c r="J1658" s="8"/>
      <c r="K1658" s="9"/>
    </row>
    <row r="1659" spans="1:11" x14ac:dyDescent="0.25">
      <c r="A1659" t="str">
        <f>"00002322730"</f>
        <v>00002322730</v>
      </c>
      <c r="B1659" t="s">
        <v>202</v>
      </c>
      <c r="C1659" t="s">
        <v>2291</v>
      </c>
      <c r="D1659">
        <v>30</v>
      </c>
      <c r="E1659" s="10" t="s">
        <v>11</v>
      </c>
      <c r="F1659" s="11">
        <v>10</v>
      </c>
      <c r="G1659">
        <v>30</v>
      </c>
      <c r="I1659" s="12"/>
      <c r="J1659" s="8"/>
      <c r="K1659" s="13"/>
    </row>
    <row r="1660" spans="1:11" x14ac:dyDescent="0.25">
      <c r="A1660" s="3" t="str">
        <f>"00002322830"</f>
        <v>00002322830</v>
      </c>
      <c r="B1660" s="3" t="s">
        <v>202</v>
      </c>
      <c r="C1660" s="3" t="s">
        <v>2292</v>
      </c>
      <c r="D1660" s="3">
        <v>30</v>
      </c>
      <c r="E1660" s="4" t="s">
        <v>11</v>
      </c>
      <c r="F1660" s="5">
        <v>25</v>
      </c>
      <c r="G1660" s="3">
        <v>30</v>
      </c>
      <c r="I1660" s="7"/>
      <c r="J1660" s="8"/>
      <c r="K1660" s="9"/>
    </row>
    <row r="1661" spans="1:11" x14ac:dyDescent="0.25">
      <c r="A1661" t="str">
        <f>"00002322930"</f>
        <v>00002322930</v>
      </c>
      <c r="B1661" t="s">
        <v>202</v>
      </c>
      <c r="C1661" t="s">
        <v>2293</v>
      </c>
      <c r="D1661">
        <v>30</v>
      </c>
      <c r="E1661" s="10" t="s">
        <v>11</v>
      </c>
      <c r="F1661" s="11">
        <v>40</v>
      </c>
      <c r="G1661">
        <v>30</v>
      </c>
      <c r="I1661" s="12"/>
      <c r="J1661" s="8"/>
      <c r="K1661" s="13"/>
    </row>
    <row r="1662" spans="1:11" x14ac:dyDescent="0.25">
      <c r="A1662" s="3" t="str">
        <f>"00002323930"</f>
        <v>00002323930</v>
      </c>
      <c r="B1662" s="3" t="s">
        <v>202</v>
      </c>
      <c r="C1662" s="3" t="s">
        <v>2294</v>
      </c>
      <c r="D1662" s="3">
        <v>30</v>
      </c>
      <c r="E1662" s="4" t="s">
        <v>11</v>
      </c>
      <c r="F1662" s="5">
        <v>60</v>
      </c>
      <c r="G1662" s="3">
        <v>30</v>
      </c>
      <c r="I1662" s="7"/>
      <c r="J1662" s="8"/>
      <c r="K1662" s="9"/>
    </row>
    <row r="1663" spans="1:11" x14ac:dyDescent="0.25">
      <c r="A1663" t="str">
        <f>"00002325030"</f>
        <v>00002325030</v>
      </c>
      <c r="B1663" t="s">
        <v>202</v>
      </c>
      <c r="C1663" t="s">
        <v>2295</v>
      </c>
      <c r="D1663">
        <v>30</v>
      </c>
      <c r="E1663" s="10" t="s">
        <v>11</v>
      </c>
      <c r="F1663" s="11">
        <v>80</v>
      </c>
      <c r="G1663">
        <v>30</v>
      </c>
      <c r="I1663" s="12"/>
      <c r="J1663" s="8"/>
      <c r="K1663" s="13"/>
    </row>
    <row r="1664" spans="1:11" x14ac:dyDescent="0.25">
      <c r="A1664" s="3" t="str">
        <f>"61958120101"</f>
        <v>61958120101</v>
      </c>
      <c r="B1664" s="3" t="s">
        <v>2296</v>
      </c>
      <c r="C1664" s="3" t="s">
        <v>2297</v>
      </c>
      <c r="D1664" s="3">
        <v>30</v>
      </c>
      <c r="E1664" s="4"/>
      <c r="F1664" s="5"/>
      <c r="G1664" s="3">
        <v>30</v>
      </c>
      <c r="I1664" s="7"/>
      <c r="J1664" s="8"/>
      <c r="K1664" s="9"/>
    </row>
    <row r="1665" spans="1:11" x14ac:dyDescent="0.25">
      <c r="A1665" t="str">
        <f>"00006003220"</f>
        <v>00006003220</v>
      </c>
      <c r="B1665" t="s">
        <v>2298</v>
      </c>
      <c r="C1665" t="s">
        <v>2299</v>
      </c>
      <c r="D1665">
        <v>20</v>
      </c>
      <c r="E1665" s="10" t="s">
        <v>11</v>
      </c>
      <c r="F1665" s="11">
        <v>3</v>
      </c>
      <c r="G1665">
        <v>20</v>
      </c>
      <c r="I1665" s="12"/>
      <c r="J1665" s="8"/>
      <c r="K1665" s="13"/>
    </row>
    <row r="1666" spans="1:11" x14ac:dyDescent="0.25">
      <c r="A1666" s="3" t="str">
        <f>"00591389201"</f>
        <v>00591389201</v>
      </c>
      <c r="B1666" s="3" t="s">
        <v>429</v>
      </c>
      <c r="C1666" s="3" t="s">
        <v>2300</v>
      </c>
      <c r="D1666" s="3">
        <v>100</v>
      </c>
      <c r="E1666" s="4" t="s">
        <v>48</v>
      </c>
      <c r="F1666" s="5">
        <v>1</v>
      </c>
      <c r="G1666" s="3">
        <v>100</v>
      </c>
      <c r="I1666" s="7"/>
      <c r="J1666" s="8"/>
      <c r="K1666" s="9"/>
    </row>
    <row r="1667" spans="1:11" x14ac:dyDescent="0.25">
      <c r="A1667" t="str">
        <f>"00591078005"</f>
        <v>00591078005</v>
      </c>
      <c r="B1667" t="s">
        <v>429</v>
      </c>
      <c r="C1667" t="s">
        <v>2301</v>
      </c>
      <c r="D1667">
        <v>500</v>
      </c>
      <c r="E1667" s="10" t="s">
        <v>48</v>
      </c>
      <c r="F1667" s="11">
        <v>1</v>
      </c>
      <c r="G1667">
        <v>500</v>
      </c>
      <c r="I1667" s="12"/>
      <c r="J1667" s="8"/>
      <c r="K1667" s="13"/>
    </row>
    <row r="1668" spans="1:11" x14ac:dyDescent="0.25">
      <c r="A1668" s="3" t="str">
        <f>"00591389205"</f>
        <v>00591389205</v>
      </c>
      <c r="B1668" s="3" t="s">
        <v>429</v>
      </c>
      <c r="C1668" s="3" t="s">
        <v>2302</v>
      </c>
      <c r="D1668" s="3">
        <v>500</v>
      </c>
      <c r="E1668" s="4" t="s">
        <v>48</v>
      </c>
      <c r="F1668" s="5">
        <v>1</v>
      </c>
      <c r="G1668" s="3">
        <v>500</v>
      </c>
      <c r="I1668" s="7"/>
      <c r="J1668" s="8"/>
      <c r="K1668" s="9"/>
    </row>
    <row r="1669" spans="1:11" x14ac:dyDescent="0.25">
      <c r="A1669" t="str">
        <f>"00904512559"</f>
        <v>00904512559</v>
      </c>
      <c r="B1669" t="s">
        <v>1081</v>
      </c>
      <c r="C1669" t="s">
        <v>2303</v>
      </c>
      <c r="D1669">
        <v>100</v>
      </c>
      <c r="E1669" s="10" t="s">
        <v>11</v>
      </c>
      <c r="F1669" s="11">
        <v>60</v>
      </c>
      <c r="G1669">
        <v>100</v>
      </c>
      <c r="I1669" s="12"/>
      <c r="J1669" s="8"/>
      <c r="K1669" s="13"/>
    </row>
    <row r="1670" spans="1:11" x14ac:dyDescent="0.25">
      <c r="A1670" s="3" t="str">
        <f>"45802089626"</f>
        <v>45802089626</v>
      </c>
      <c r="B1670" s="3" t="s">
        <v>2304</v>
      </c>
      <c r="C1670" s="3" t="s">
        <v>2305</v>
      </c>
      <c r="D1670" s="3">
        <v>118</v>
      </c>
      <c r="E1670" s="4" t="s">
        <v>2270</v>
      </c>
      <c r="F1670" s="5">
        <v>10</v>
      </c>
      <c r="G1670" s="3">
        <v>118</v>
      </c>
      <c r="I1670" s="7"/>
      <c r="J1670" s="8"/>
      <c r="K1670" s="9"/>
    </row>
    <row r="1671" spans="1:11" x14ac:dyDescent="0.25">
      <c r="A1671" t="str">
        <f>"00185075701"</f>
        <v>00185075701</v>
      </c>
      <c r="B1671" t="s">
        <v>2306</v>
      </c>
      <c r="C1671" t="s">
        <v>2307</v>
      </c>
      <c r="D1671">
        <v>100</v>
      </c>
      <c r="E1671" s="10" t="s">
        <v>11</v>
      </c>
      <c r="F1671" s="11">
        <v>500</v>
      </c>
      <c r="G1671">
        <v>100</v>
      </c>
      <c r="I1671" s="12"/>
      <c r="J1671" s="8"/>
      <c r="K1671" s="13"/>
    </row>
    <row r="1672" spans="1:11" x14ac:dyDescent="0.25">
      <c r="A1672" s="3" t="str">
        <f>"53746027101"</f>
        <v>53746027101</v>
      </c>
      <c r="B1672" s="3" t="s">
        <v>2308</v>
      </c>
      <c r="C1672" s="3" t="s">
        <v>2309</v>
      </c>
      <c r="D1672" s="3">
        <v>100</v>
      </c>
      <c r="E1672" s="4" t="s">
        <v>793</v>
      </c>
      <c r="F1672" s="5" t="s">
        <v>839</v>
      </c>
      <c r="G1672" s="3">
        <v>100</v>
      </c>
      <c r="I1672" s="7"/>
      <c r="J1672" s="8"/>
      <c r="K1672" s="9"/>
    </row>
    <row r="1673" spans="1:11" x14ac:dyDescent="0.25">
      <c r="A1673" t="str">
        <f>"53746027105"</f>
        <v>53746027105</v>
      </c>
      <c r="B1673" t="s">
        <v>2308</v>
      </c>
      <c r="C1673" t="s">
        <v>2310</v>
      </c>
      <c r="D1673">
        <v>500</v>
      </c>
      <c r="E1673" s="10" t="s">
        <v>793</v>
      </c>
      <c r="F1673" s="11" t="s">
        <v>839</v>
      </c>
      <c r="G1673">
        <v>500</v>
      </c>
      <c r="I1673" s="12"/>
      <c r="J1673" s="8"/>
      <c r="K1673" s="13"/>
    </row>
    <row r="1674" spans="1:11" x14ac:dyDescent="0.25">
      <c r="A1674" s="3" t="str">
        <f>"00703950303"</f>
        <v>00703950303</v>
      </c>
      <c r="B1674" s="3" t="s">
        <v>2308</v>
      </c>
      <c r="C1674" s="3" t="s">
        <v>2311</v>
      </c>
      <c r="D1674" s="3">
        <v>50</v>
      </c>
      <c r="E1674" s="4" t="s">
        <v>2312</v>
      </c>
      <c r="F1674" s="5" t="s">
        <v>2313</v>
      </c>
      <c r="G1674" s="3">
        <v>5</v>
      </c>
      <c r="I1674" s="7"/>
      <c r="J1674" s="8"/>
      <c r="K1674" s="9"/>
    </row>
    <row r="1675" spans="1:11" x14ac:dyDescent="0.25">
      <c r="A1675" t="str">
        <f>"53746027201"</f>
        <v>53746027201</v>
      </c>
      <c r="B1675" t="s">
        <v>2308</v>
      </c>
      <c r="C1675" t="s">
        <v>2314</v>
      </c>
      <c r="D1675">
        <v>100</v>
      </c>
      <c r="E1675" s="10" t="s">
        <v>2315</v>
      </c>
      <c r="F1675" s="11" t="s">
        <v>2316</v>
      </c>
      <c r="G1675">
        <v>100</v>
      </c>
      <c r="I1675" s="12"/>
      <c r="J1675" s="8"/>
      <c r="K1675" s="13"/>
    </row>
    <row r="1676" spans="1:11" x14ac:dyDescent="0.25">
      <c r="A1676" s="3" t="str">
        <f>"53746027205"</f>
        <v>53746027205</v>
      </c>
      <c r="B1676" s="3" t="s">
        <v>2308</v>
      </c>
      <c r="C1676" s="3" t="s">
        <v>2317</v>
      </c>
      <c r="D1676" s="3">
        <v>500</v>
      </c>
      <c r="E1676" s="4" t="s">
        <v>2315</v>
      </c>
      <c r="F1676" s="5" t="s">
        <v>2316</v>
      </c>
      <c r="G1676" s="3">
        <v>500</v>
      </c>
      <c r="I1676" s="7"/>
      <c r="J1676" s="8"/>
      <c r="K1676" s="9"/>
    </row>
    <row r="1677" spans="1:11" x14ac:dyDescent="0.25">
      <c r="A1677" t="str">
        <f>"42292002808"</f>
        <v>42292002808</v>
      </c>
      <c r="B1677" t="s">
        <v>2308</v>
      </c>
      <c r="C1677" t="s">
        <v>2318</v>
      </c>
      <c r="D1677">
        <v>80</v>
      </c>
      <c r="E1677" s="10" t="s">
        <v>2315</v>
      </c>
      <c r="F1677" s="11" t="s">
        <v>2319</v>
      </c>
      <c r="G1677">
        <v>80</v>
      </c>
      <c r="I1677" s="12"/>
      <c r="J1677" s="8"/>
      <c r="K1677" s="13"/>
    </row>
    <row r="1678" spans="1:11" x14ac:dyDescent="0.25">
      <c r="A1678" s="3" t="str">
        <f>"51079012808"</f>
        <v>51079012808</v>
      </c>
      <c r="B1678" s="3" t="s">
        <v>2308</v>
      </c>
      <c r="C1678" s="3" t="s">
        <v>2320</v>
      </c>
      <c r="D1678" s="3">
        <v>80</v>
      </c>
      <c r="E1678" s="4" t="s">
        <v>2321</v>
      </c>
      <c r="F1678" s="5" t="s">
        <v>2316</v>
      </c>
      <c r="G1678" s="3">
        <v>80</v>
      </c>
      <c r="I1678" s="7"/>
      <c r="J1678" s="8"/>
      <c r="K1678" s="9"/>
    </row>
    <row r="1679" spans="1:11" x14ac:dyDescent="0.25">
      <c r="A1679" t="str">
        <f>"68084023001"</f>
        <v>68084023001</v>
      </c>
      <c r="B1679" t="s">
        <v>2308</v>
      </c>
      <c r="C1679" t="s">
        <v>2322</v>
      </c>
      <c r="D1679">
        <v>100</v>
      </c>
      <c r="E1679" s="10" t="s">
        <v>2315</v>
      </c>
      <c r="F1679" s="11" t="s">
        <v>2316</v>
      </c>
      <c r="G1679">
        <v>100</v>
      </c>
      <c r="I1679" s="12"/>
      <c r="J1679" s="8"/>
      <c r="K1679" s="13"/>
    </row>
    <row r="1680" spans="1:11" x14ac:dyDescent="0.25">
      <c r="A1680" s="3" t="str">
        <f>"00591079601"</f>
        <v>00591079601</v>
      </c>
      <c r="B1680" s="3" t="s">
        <v>2323</v>
      </c>
      <c r="C1680" s="3" t="s">
        <v>2324</v>
      </c>
      <c r="D1680" s="3">
        <v>100</v>
      </c>
      <c r="E1680" s="4" t="s">
        <v>11</v>
      </c>
      <c r="F1680" s="5">
        <v>500</v>
      </c>
      <c r="G1680" s="3">
        <v>100</v>
      </c>
      <c r="I1680" s="7"/>
      <c r="J1680" s="8"/>
      <c r="K1680" s="9"/>
    </row>
    <row r="1681" spans="1:11" x14ac:dyDescent="0.25">
      <c r="A1681" t="str">
        <f>"65862014636"</f>
        <v>65862014636</v>
      </c>
      <c r="B1681" t="s">
        <v>2325</v>
      </c>
      <c r="C1681" t="s">
        <v>2326</v>
      </c>
      <c r="D1681">
        <v>9</v>
      </c>
      <c r="E1681" s="10" t="s">
        <v>11</v>
      </c>
      <c r="F1681" s="11">
        <v>25</v>
      </c>
      <c r="G1681">
        <v>9</v>
      </c>
      <c r="I1681" s="12"/>
      <c r="J1681" s="8"/>
      <c r="K1681" s="13"/>
    </row>
    <row r="1682" spans="1:11" x14ac:dyDescent="0.25">
      <c r="A1682" s="3" t="str">
        <f>"55111029109"</f>
        <v>55111029109</v>
      </c>
      <c r="B1682" s="3" t="s">
        <v>2325</v>
      </c>
      <c r="C1682" s="3" t="s">
        <v>2327</v>
      </c>
      <c r="D1682" s="3">
        <v>9</v>
      </c>
      <c r="E1682" s="4" t="s">
        <v>936</v>
      </c>
      <c r="F1682" s="5">
        <v>25</v>
      </c>
      <c r="G1682" s="3">
        <v>9</v>
      </c>
      <c r="I1682" s="7"/>
      <c r="J1682" s="8"/>
      <c r="K1682" s="9"/>
    </row>
    <row r="1683" spans="1:11" x14ac:dyDescent="0.25">
      <c r="A1683" t="str">
        <f>"00378563159"</f>
        <v>00378563159</v>
      </c>
      <c r="B1683" t="s">
        <v>2325</v>
      </c>
      <c r="C1683" t="s">
        <v>2328</v>
      </c>
      <c r="D1683">
        <v>9</v>
      </c>
      <c r="E1683" s="10" t="s">
        <v>11</v>
      </c>
      <c r="F1683" s="11">
        <v>50</v>
      </c>
      <c r="G1683">
        <v>9</v>
      </c>
      <c r="I1683" s="12"/>
      <c r="J1683" s="8"/>
      <c r="K1683" s="13"/>
    </row>
    <row r="1684" spans="1:11" x14ac:dyDescent="0.25">
      <c r="A1684" s="3" t="str">
        <f>"65862014736"</f>
        <v>65862014736</v>
      </c>
      <c r="B1684" s="3" t="s">
        <v>2325</v>
      </c>
      <c r="C1684" s="3" t="s">
        <v>2329</v>
      </c>
      <c r="D1684" s="3">
        <v>9</v>
      </c>
      <c r="E1684" s="4" t="s">
        <v>11</v>
      </c>
      <c r="F1684" s="5">
        <v>50</v>
      </c>
      <c r="G1684" s="3">
        <v>9</v>
      </c>
      <c r="I1684" s="7"/>
      <c r="J1684" s="8"/>
      <c r="K1684" s="9"/>
    </row>
    <row r="1685" spans="1:11" x14ac:dyDescent="0.25">
      <c r="A1685" t="str">
        <f>"62756052169"</f>
        <v>62756052169</v>
      </c>
      <c r="B1685" t="s">
        <v>2325</v>
      </c>
      <c r="C1685" t="s">
        <v>2330</v>
      </c>
      <c r="D1685">
        <v>9</v>
      </c>
      <c r="E1685" s="10" t="s">
        <v>936</v>
      </c>
      <c r="F1685" s="11">
        <v>50</v>
      </c>
      <c r="G1685">
        <v>9</v>
      </c>
      <c r="I1685" s="12"/>
      <c r="J1685" s="8"/>
      <c r="K1685" s="13"/>
    </row>
    <row r="1686" spans="1:11" x14ac:dyDescent="0.25">
      <c r="A1686" s="3" t="str">
        <f>"55150017301"</f>
        <v>55150017301</v>
      </c>
      <c r="B1686" s="3" t="s">
        <v>2325</v>
      </c>
      <c r="C1686" s="3" t="s">
        <v>2331</v>
      </c>
      <c r="D1686" s="3">
        <v>2.5</v>
      </c>
      <c r="E1686" s="4" t="s">
        <v>2332</v>
      </c>
      <c r="F1686" s="5" t="s">
        <v>1727</v>
      </c>
      <c r="G1686" s="3">
        <v>0.5</v>
      </c>
      <c r="I1686" s="7"/>
      <c r="J1686" s="8"/>
      <c r="K1686" s="9"/>
    </row>
    <row r="1687" spans="1:11" x14ac:dyDescent="0.25">
      <c r="A1687" t="str">
        <f>"00056051030"</f>
        <v>00056051030</v>
      </c>
      <c r="B1687" t="s">
        <v>2333</v>
      </c>
      <c r="C1687" t="s">
        <v>2334</v>
      </c>
      <c r="D1687">
        <v>30</v>
      </c>
      <c r="E1687" s="10" t="s">
        <v>11</v>
      </c>
      <c r="F1687" s="11">
        <v>600</v>
      </c>
      <c r="G1687">
        <v>30</v>
      </c>
      <c r="I1687" s="12"/>
      <c r="J1687" s="8"/>
      <c r="K1687" s="13"/>
    </row>
    <row r="1688" spans="1:11" x14ac:dyDescent="0.25">
      <c r="A1688" s="3" t="str">
        <f>"00186037020"</f>
        <v>00186037020</v>
      </c>
      <c r="B1688" s="3" t="s">
        <v>2335</v>
      </c>
      <c r="C1688" s="3" t="s">
        <v>2336</v>
      </c>
      <c r="D1688" s="3">
        <v>10.199999999999999</v>
      </c>
      <c r="E1688" s="4" t="s">
        <v>2337</v>
      </c>
      <c r="F1688" s="5" t="s">
        <v>2338</v>
      </c>
      <c r="G1688" s="3">
        <v>10.199999999999999</v>
      </c>
      <c r="I1688" s="7"/>
      <c r="J1688" s="8"/>
      <c r="K1688" s="9"/>
    </row>
    <row r="1689" spans="1:11" x14ac:dyDescent="0.25">
      <c r="A1689" t="str">
        <f>"00186037220"</f>
        <v>00186037220</v>
      </c>
      <c r="B1689" t="s">
        <v>2335</v>
      </c>
      <c r="C1689" t="s">
        <v>2339</v>
      </c>
      <c r="D1689">
        <v>10.199999999999999</v>
      </c>
      <c r="E1689" s="10" t="s">
        <v>2337</v>
      </c>
      <c r="F1689" s="11" t="s">
        <v>2313</v>
      </c>
      <c r="G1689">
        <v>10.199999999999999</v>
      </c>
      <c r="I1689" s="12"/>
      <c r="J1689" s="8"/>
      <c r="K1689" s="13"/>
    </row>
    <row r="1690" spans="1:11" x14ac:dyDescent="0.25">
      <c r="A1690" s="3" t="str">
        <f>"00186037028"</f>
        <v>00186037028</v>
      </c>
      <c r="B1690" s="3" t="s">
        <v>2335</v>
      </c>
      <c r="C1690" s="3" t="s">
        <v>2340</v>
      </c>
      <c r="D1690" s="3">
        <v>6</v>
      </c>
      <c r="E1690" s="4" t="s">
        <v>2337</v>
      </c>
      <c r="F1690" s="5" t="s">
        <v>2338</v>
      </c>
      <c r="G1690" s="3">
        <v>6</v>
      </c>
      <c r="I1690" s="7"/>
      <c r="J1690" s="8"/>
      <c r="K1690" s="9"/>
    </row>
    <row r="1691" spans="1:11" x14ac:dyDescent="0.25">
      <c r="A1691" t="str">
        <f>"00186037228"</f>
        <v>00186037228</v>
      </c>
      <c r="B1691" t="s">
        <v>2335</v>
      </c>
      <c r="C1691" t="s">
        <v>2341</v>
      </c>
      <c r="D1691">
        <v>6.9</v>
      </c>
      <c r="E1691" s="10" t="s">
        <v>2337</v>
      </c>
      <c r="F1691" s="11" t="s">
        <v>2313</v>
      </c>
      <c r="G1691">
        <v>6.9</v>
      </c>
      <c r="I1691" s="12"/>
      <c r="J1691" s="8"/>
      <c r="K1691" s="13"/>
    </row>
    <row r="1692" spans="1:11" x14ac:dyDescent="0.25">
      <c r="A1692" s="3" t="str">
        <f>"58468009001"</f>
        <v>58468009001</v>
      </c>
      <c r="B1692" s="3" t="s">
        <v>2342</v>
      </c>
      <c r="C1692" s="3" t="s">
        <v>2343</v>
      </c>
      <c r="D1692" s="3">
        <v>6</v>
      </c>
      <c r="E1692" s="4"/>
      <c r="F1692" s="5"/>
      <c r="G1692" s="3">
        <v>2</v>
      </c>
      <c r="I1692" s="7"/>
      <c r="J1692" s="8"/>
      <c r="K1692" s="9"/>
    </row>
    <row r="1693" spans="1:11" x14ac:dyDescent="0.25">
      <c r="A1693" t="str">
        <f>"00904053080"</f>
        <v>00904053080</v>
      </c>
      <c r="B1693" t="s">
        <v>2344</v>
      </c>
      <c r="C1693" t="s">
        <v>2345</v>
      </c>
      <c r="D1693">
        <v>1000</v>
      </c>
      <c r="G1693">
        <v>1000</v>
      </c>
      <c r="I1693" s="12"/>
      <c r="J1693" s="8"/>
      <c r="K1693" s="13"/>
    </row>
    <row r="1694" spans="1:11" x14ac:dyDescent="0.25">
      <c r="A1694" s="3" t="str">
        <f>"00904053061"</f>
        <v>00904053061</v>
      </c>
      <c r="B1694" s="3" t="s">
        <v>2344</v>
      </c>
      <c r="C1694" s="3" t="s">
        <v>2346</v>
      </c>
      <c r="D1694" s="3">
        <v>100</v>
      </c>
      <c r="E1694" s="4"/>
      <c r="F1694" s="5"/>
      <c r="G1694" s="3">
        <v>100</v>
      </c>
      <c r="I1694" s="7"/>
      <c r="J1694" s="8"/>
      <c r="K1694" s="9"/>
    </row>
    <row r="1695" spans="1:11" x14ac:dyDescent="0.25">
      <c r="A1695" t="str">
        <f>"16729004101"</f>
        <v>16729004101</v>
      </c>
      <c r="B1695" t="s">
        <v>2347</v>
      </c>
      <c r="C1695" t="s">
        <v>2348</v>
      </c>
      <c r="D1695">
        <v>100</v>
      </c>
      <c r="E1695" s="10" t="s">
        <v>11</v>
      </c>
      <c r="F1695" s="11">
        <v>0.5</v>
      </c>
      <c r="G1695">
        <v>100</v>
      </c>
      <c r="I1695" s="12"/>
      <c r="J1695" s="8"/>
      <c r="K1695" s="13"/>
    </row>
    <row r="1696" spans="1:11" x14ac:dyDescent="0.25">
      <c r="A1696" s="3" t="str">
        <f>"16729004201"</f>
        <v>16729004201</v>
      </c>
      <c r="B1696" s="3" t="s">
        <v>2347</v>
      </c>
      <c r="C1696" s="3" t="s">
        <v>2349</v>
      </c>
      <c r="D1696" s="3">
        <v>100</v>
      </c>
      <c r="E1696" s="4" t="s">
        <v>11</v>
      </c>
      <c r="F1696" s="5">
        <v>1</v>
      </c>
      <c r="G1696" s="3">
        <v>100</v>
      </c>
      <c r="I1696" s="7"/>
      <c r="J1696" s="8"/>
      <c r="K1696" s="9"/>
    </row>
    <row r="1697" spans="1:11" x14ac:dyDescent="0.25">
      <c r="A1697" t="str">
        <f>"00781210301"</f>
        <v>00781210301</v>
      </c>
      <c r="B1697" t="s">
        <v>2347</v>
      </c>
      <c r="C1697" t="s">
        <v>2349</v>
      </c>
      <c r="D1697">
        <v>100</v>
      </c>
      <c r="E1697" s="10" t="s">
        <v>11</v>
      </c>
      <c r="F1697" s="11">
        <v>1</v>
      </c>
      <c r="G1697">
        <v>100</v>
      </c>
      <c r="I1697" s="12"/>
      <c r="J1697" s="8"/>
      <c r="K1697" s="13"/>
    </row>
    <row r="1698" spans="1:11" x14ac:dyDescent="0.25">
      <c r="A1698" s="3" t="str">
        <f>"16729004301"</f>
        <v>16729004301</v>
      </c>
      <c r="B1698" s="3" t="s">
        <v>2347</v>
      </c>
      <c r="C1698" s="3" t="s">
        <v>2350</v>
      </c>
      <c r="D1698" s="3">
        <v>100</v>
      </c>
      <c r="E1698" s="4" t="s">
        <v>11</v>
      </c>
      <c r="F1698" s="5">
        <v>5</v>
      </c>
      <c r="G1698" s="3">
        <v>100</v>
      </c>
      <c r="I1698" s="7"/>
      <c r="J1698" s="8"/>
      <c r="K1698" s="9"/>
    </row>
    <row r="1699" spans="1:11" x14ac:dyDescent="0.25">
      <c r="A1699" t="str">
        <f>"45802070000"</f>
        <v>45802070000</v>
      </c>
      <c r="B1699" t="s">
        <v>2347</v>
      </c>
      <c r="C1699" t="s">
        <v>2351</v>
      </c>
      <c r="D1699">
        <v>30</v>
      </c>
      <c r="E1699" s="10" t="s">
        <v>43</v>
      </c>
      <c r="F1699" s="11">
        <v>0.1</v>
      </c>
      <c r="G1699">
        <v>30</v>
      </c>
      <c r="I1699" s="12"/>
      <c r="J1699" s="8"/>
      <c r="K1699" s="13"/>
    </row>
    <row r="1700" spans="1:11" x14ac:dyDescent="0.25">
      <c r="A1700" s="3" t="str">
        <f>"00168041730"</f>
        <v>00168041730</v>
      </c>
      <c r="B1700" s="3" t="s">
        <v>2347</v>
      </c>
      <c r="C1700" s="3" t="s">
        <v>2353</v>
      </c>
      <c r="D1700" s="3">
        <v>30</v>
      </c>
      <c r="E1700" s="4" t="s">
        <v>43</v>
      </c>
      <c r="F1700" s="5">
        <v>0.03</v>
      </c>
      <c r="G1700" s="3">
        <v>30</v>
      </c>
      <c r="I1700" s="7"/>
      <c r="J1700" s="8"/>
      <c r="K1700" s="9"/>
    </row>
    <row r="1701" spans="1:11" x14ac:dyDescent="0.25">
      <c r="A1701" t="str">
        <f>"00168041630"</f>
        <v>00168041630</v>
      </c>
      <c r="B1701" t="s">
        <v>2347</v>
      </c>
      <c r="C1701" t="s">
        <v>2352</v>
      </c>
      <c r="D1701">
        <v>30</v>
      </c>
      <c r="E1701" s="10" t="s">
        <v>43</v>
      </c>
      <c r="F1701" s="11">
        <v>0.1</v>
      </c>
      <c r="G1701">
        <v>30</v>
      </c>
      <c r="I1701" s="12"/>
      <c r="J1701" s="8"/>
      <c r="K1701" s="13"/>
    </row>
    <row r="1702" spans="1:11" x14ac:dyDescent="0.25">
      <c r="A1702" s="3" t="str">
        <f>"00591247260"</f>
        <v>00591247260</v>
      </c>
      <c r="B1702" s="3" t="s">
        <v>2354</v>
      </c>
      <c r="C1702" s="3" t="s">
        <v>2355</v>
      </c>
      <c r="D1702" s="3">
        <v>60</v>
      </c>
      <c r="E1702" s="4" t="s">
        <v>11</v>
      </c>
      <c r="F1702" s="5">
        <v>10</v>
      </c>
      <c r="G1702" s="3">
        <v>60</v>
      </c>
      <c r="I1702" s="7"/>
      <c r="J1702" s="8"/>
      <c r="K1702" s="9"/>
    </row>
    <row r="1703" spans="1:11" x14ac:dyDescent="0.25">
      <c r="A1703" t="str">
        <f>"00093078406"</f>
        <v>00093078406</v>
      </c>
      <c r="B1703" t="s">
        <v>2354</v>
      </c>
      <c r="C1703" t="s">
        <v>2356</v>
      </c>
      <c r="D1703">
        <v>60</v>
      </c>
      <c r="E1703" s="10" t="s">
        <v>11</v>
      </c>
      <c r="F1703" s="11">
        <v>10</v>
      </c>
      <c r="G1703">
        <v>60</v>
      </c>
      <c r="I1703" s="12"/>
      <c r="J1703" s="8"/>
      <c r="K1703" s="13"/>
    </row>
    <row r="1704" spans="1:11" x14ac:dyDescent="0.25">
      <c r="A1704" s="3" t="str">
        <f>"68382013201"</f>
        <v>68382013201</v>
      </c>
      <c r="B1704" s="3" t="s">
        <v>2357</v>
      </c>
      <c r="C1704" s="3" t="s">
        <v>2358</v>
      </c>
      <c r="D1704" s="3">
        <v>100</v>
      </c>
      <c r="E1704" s="4" t="s">
        <v>11</v>
      </c>
      <c r="F1704" s="5">
        <v>0.4</v>
      </c>
      <c r="G1704" s="3">
        <v>100</v>
      </c>
      <c r="I1704" s="7"/>
      <c r="J1704" s="8"/>
      <c r="K1704" s="9"/>
    </row>
    <row r="1705" spans="1:11" x14ac:dyDescent="0.25">
      <c r="A1705" t="str">
        <f>"51079029420"</f>
        <v>51079029420</v>
      </c>
      <c r="B1705" t="s">
        <v>2357</v>
      </c>
      <c r="C1705" t="s">
        <v>2359</v>
      </c>
      <c r="D1705">
        <v>100</v>
      </c>
      <c r="E1705" s="10" t="s">
        <v>11</v>
      </c>
      <c r="F1705" s="11">
        <v>0.4</v>
      </c>
      <c r="G1705">
        <v>100</v>
      </c>
      <c r="I1705" s="12"/>
      <c r="J1705" s="8"/>
      <c r="K1705" s="13"/>
    </row>
    <row r="1706" spans="1:11" x14ac:dyDescent="0.25">
      <c r="A1706" s="3" t="str">
        <f>"68382013210"</f>
        <v>68382013210</v>
      </c>
      <c r="B1706" s="3" t="s">
        <v>2357</v>
      </c>
      <c r="C1706" s="3" t="s">
        <v>2360</v>
      </c>
      <c r="D1706" s="3">
        <v>1000</v>
      </c>
      <c r="E1706" s="4" t="s">
        <v>11</v>
      </c>
      <c r="F1706" s="5">
        <v>0.4</v>
      </c>
      <c r="G1706" s="3">
        <v>1000</v>
      </c>
      <c r="I1706" s="7"/>
      <c r="J1706" s="8"/>
      <c r="K1706" s="9"/>
    </row>
    <row r="1707" spans="1:11" x14ac:dyDescent="0.25">
      <c r="A1707" t="str">
        <f>"00187552675"</f>
        <v>00187552675</v>
      </c>
      <c r="B1707" t="s">
        <v>317</v>
      </c>
      <c r="C1707" t="s">
        <v>2361</v>
      </c>
      <c r="D1707">
        <v>100</v>
      </c>
      <c r="E1707" s="10" t="s">
        <v>11</v>
      </c>
      <c r="F1707" s="11">
        <v>75</v>
      </c>
      <c r="G1707">
        <v>100</v>
      </c>
      <c r="I1707" s="12"/>
      <c r="J1707" s="8"/>
      <c r="K1707" s="13"/>
    </row>
    <row r="1708" spans="1:11" x14ac:dyDescent="0.25">
      <c r="A1708" s="3" t="str">
        <f>"00078059287"</f>
        <v>00078059287</v>
      </c>
      <c r="B1708" s="3" t="s">
        <v>2362</v>
      </c>
      <c r="C1708" s="3" t="s">
        <v>2363</v>
      </c>
      <c r="D1708" s="3">
        <v>112</v>
      </c>
      <c r="E1708" s="4" t="s">
        <v>11</v>
      </c>
      <c r="F1708" s="5">
        <v>150</v>
      </c>
      <c r="G1708" s="3">
        <v>28</v>
      </c>
      <c r="I1708" s="7"/>
      <c r="J1708" s="8"/>
      <c r="K1708" s="9"/>
    </row>
    <row r="1709" spans="1:11" x14ac:dyDescent="0.25">
      <c r="A1709" t="str">
        <f>"00078052687"</f>
        <v>00078052687</v>
      </c>
      <c r="B1709" t="s">
        <v>2362</v>
      </c>
      <c r="C1709" t="s">
        <v>2364</v>
      </c>
      <c r="D1709">
        <v>112</v>
      </c>
      <c r="E1709" s="10" t="s">
        <v>11</v>
      </c>
      <c r="F1709" s="11">
        <v>200</v>
      </c>
      <c r="G1709">
        <v>28</v>
      </c>
      <c r="I1709" s="12"/>
      <c r="J1709" s="8"/>
      <c r="K1709" s="13"/>
    </row>
    <row r="1710" spans="1:11" x14ac:dyDescent="0.25">
      <c r="A1710" s="3" t="str">
        <f>"00409508216"</f>
        <v>00409508216</v>
      </c>
      <c r="B1710" s="3" t="s">
        <v>474</v>
      </c>
      <c r="C1710" s="3" t="s">
        <v>2365</v>
      </c>
      <c r="D1710" s="3">
        <v>25</v>
      </c>
      <c r="E1710" s="4" t="s">
        <v>48</v>
      </c>
      <c r="F1710" s="5">
        <v>1</v>
      </c>
      <c r="G1710" s="3">
        <v>1</v>
      </c>
      <c r="I1710" s="7"/>
      <c r="J1710" s="8"/>
      <c r="K1710" s="9"/>
    </row>
    <row r="1711" spans="1:11" x14ac:dyDescent="0.25">
      <c r="A1711" t="str">
        <f>"00409508411"</f>
        <v>00409508411</v>
      </c>
      <c r="B1711" t="s">
        <v>474</v>
      </c>
      <c r="C1711" t="s">
        <v>2366</v>
      </c>
      <c r="D1711">
        <v>10</v>
      </c>
      <c r="E1711" s="10" t="s">
        <v>48</v>
      </c>
      <c r="F1711" s="11">
        <v>2</v>
      </c>
      <c r="G1711">
        <v>1</v>
      </c>
      <c r="I1711" s="12"/>
      <c r="J1711" s="8"/>
      <c r="K1711" s="13"/>
    </row>
    <row r="1712" spans="1:11" x14ac:dyDescent="0.25">
      <c r="A1712" s="3" t="str">
        <f>"08333162605"</f>
        <v>08333162605</v>
      </c>
      <c r="B1712" s="3" t="s">
        <v>2367</v>
      </c>
      <c r="C1712" s="3" t="s">
        <v>2368</v>
      </c>
      <c r="D1712" s="3">
        <v>50</v>
      </c>
      <c r="E1712" s="4"/>
      <c r="F1712" s="5"/>
      <c r="G1712" s="3">
        <v>50</v>
      </c>
      <c r="I1712" s="7"/>
      <c r="J1712" s="8"/>
      <c r="K1712" s="9"/>
    </row>
    <row r="1713" spans="1:11" x14ac:dyDescent="0.25">
      <c r="A1713" t="str">
        <f>"00078048515"</f>
        <v>00078048515</v>
      </c>
      <c r="B1713" t="s">
        <v>2369</v>
      </c>
      <c r="C1713" t="s">
        <v>2370</v>
      </c>
      <c r="D1713">
        <v>30</v>
      </c>
      <c r="E1713" s="10" t="s">
        <v>11</v>
      </c>
      <c r="F1713" s="11">
        <v>150</v>
      </c>
      <c r="G1713">
        <v>30</v>
      </c>
      <c r="I1713" s="12"/>
      <c r="J1713" s="8"/>
      <c r="K1713" s="13"/>
    </row>
    <row r="1714" spans="1:11" x14ac:dyDescent="0.25">
      <c r="A1714" s="3" t="str">
        <f>"54162025004"</f>
        <v>54162025004</v>
      </c>
      <c r="B1714" s="3" t="s">
        <v>2103</v>
      </c>
      <c r="C1714" s="3" t="s">
        <v>2371</v>
      </c>
      <c r="D1714" s="3">
        <v>4</v>
      </c>
      <c r="E1714" s="4"/>
      <c r="F1714" s="5"/>
      <c r="G1714" s="3">
        <v>118</v>
      </c>
      <c r="I1714" s="7"/>
      <c r="J1714" s="8"/>
      <c r="K1714" s="9"/>
    </row>
    <row r="1715" spans="1:11" x14ac:dyDescent="0.25">
      <c r="A1715" t="str">
        <f>"59746038306"</f>
        <v>59746038306</v>
      </c>
      <c r="B1715" t="s">
        <v>2372</v>
      </c>
      <c r="C1715" t="s">
        <v>2373</v>
      </c>
      <c r="D1715">
        <v>100</v>
      </c>
      <c r="E1715" s="10" t="s">
        <v>11</v>
      </c>
      <c r="F1715" s="11">
        <v>1</v>
      </c>
      <c r="G1715">
        <v>100</v>
      </c>
      <c r="I1715" s="12"/>
      <c r="J1715" s="8"/>
      <c r="K1715" s="13"/>
    </row>
    <row r="1716" spans="1:11" x14ac:dyDescent="0.25">
      <c r="A1716" s="3" t="str">
        <f>"51079093620"</f>
        <v>51079093620</v>
      </c>
      <c r="B1716" s="3" t="s">
        <v>2372</v>
      </c>
      <c r="C1716" s="3" t="s">
        <v>2374</v>
      </c>
      <c r="D1716" s="3">
        <v>100</v>
      </c>
      <c r="E1716" s="4" t="s">
        <v>11</v>
      </c>
      <c r="F1716" s="5">
        <v>1</v>
      </c>
      <c r="G1716" s="3">
        <v>100</v>
      </c>
      <c r="I1716" s="7"/>
      <c r="J1716" s="8"/>
      <c r="K1716" s="9"/>
    </row>
    <row r="1717" spans="1:11" x14ac:dyDescent="0.25">
      <c r="A1717" t="str">
        <f>"59746038606"</f>
        <v>59746038606</v>
      </c>
      <c r="B1717" t="s">
        <v>2372</v>
      </c>
      <c r="C1717" t="s">
        <v>2375</v>
      </c>
      <c r="D1717">
        <v>100</v>
      </c>
      <c r="E1717" s="10" t="s">
        <v>11</v>
      </c>
      <c r="F1717" s="11">
        <v>10</v>
      </c>
      <c r="G1717">
        <v>100</v>
      </c>
      <c r="I1717" s="12"/>
      <c r="J1717" s="8"/>
      <c r="K1717" s="13"/>
    </row>
    <row r="1718" spans="1:11" x14ac:dyDescent="0.25">
      <c r="A1718" s="3" t="str">
        <f>"59746038610"</f>
        <v>59746038610</v>
      </c>
      <c r="B1718" s="3" t="s">
        <v>2372</v>
      </c>
      <c r="C1718" s="3" t="s">
        <v>2376</v>
      </c>
      <c r="D1718" s="3">
        <v>1000</v>
      </c>
      <c r="E1718" s="4" t="s">
        <v>11</v>
      </c>
      <c r="F1718" s="5">
        <v>10</v>
      </c>
      <c r="G1718" s="3">
        <v>1000</v>
      </c>
      <c r="I1718" s="7"/>
      <c r="J1718" s="8"/>
      <c r="K1718" s="9"/>
    </row>
    <row r="1719" spans="1:11" x14ac:dyDescent="0.25">
      <c r="A1719" t="str">
        <f>"59746038406"</f>
        <v>59746038406</v>
      </c>
      <c r="B1719" t="s">
        <v>2372</v>
      </c>
      <c r="C1719" t="s">
        <v>2377</v>
      </c>
      <c r="D1719">
        <v>100</v>
      </c>
      <c r="E1719" s="10" t="s">
        <v>11</v>
      </c>
      <c r="F1719" s="11">
        <v>2</v>
      </c>
      <c r="G1719">
        <v>100</v>
      </c>
      <c r="I1719" s="12"/>
      <c r="J1719" s="8"/>
      <c r="K1719" s="13"/>
    </row>
    <row r="1720" spans="1:11" x14ac:dyDescent="0.25">
      <c r="A1720" s="3" t="str">
        <f>"51079093720"</f>
        <v>51079093720</v>
      </c>
      <c r="B1720" s="3" t="s">
        <v>2372</v>
      </c>
      <c r="C1720" s="3" t="s">
        <v>2378</v>
      </c>
      <c r="D1720" s="3">
        <v>100</v>
      </c>
      <c r="E1720" s="4" t="s">
        <v>11</v>
      </c>
      <c r="F1720" s="5">
        <v>2</v>
      </c>
      <c r="G1720" s="3">
        <v>100</v>
      </c>
      <c r="I1720" s="7"/>
      <c r="J1720" s="8"/>
      <c r="K1720" s="9"/>
    </row>
    <row r="1721" spans="1:11" x14ac:dyDescent="0.25">
      <c r="A1721" t="str">
        <f>"59746038410"</f>
        <v>59746038410</v>
      </c>
      <c r="B1721" t="s">
        <v>2372</v>
      </c>
      <c r="C1721" t="s">
        <v>2379</v>
      </c>
      <c r="D1721">
        <v>1000</v>
      </c>
      <c r="E1721" s="10" t="s">
        <v>11</v>
      </c>
      <c r="F1721" s="11">
        <v>2</v>
      </c>
      <c r="G1721">
        <v>1000</v>
      </c>
      <c r="I1721" s="12"/>
      <c r="J1721" s="8"/>
      <c r="K1721" s="13"/>
    </row>
    <row r="1722" spans="1:11" x14ac:dyDescent="0.25">
      <c r="A1722" s="3" t="str">
        <f>"51079093820"</f>
        <v>51079093820</v>
      </c>
      <c r="B1722" s="3" t="s">
        <v>2372</v>
      </c>
      <c r="C1722" s="3" t="s">
        <v>2380</v>
      </c>
      <c r="D1722" s="3">
        <v>100</v>
      </c>
      <c r="E1722" s="4" t="s">
        <v>11</v>
      </c>
      <c r="F1722" s="5">
        <v>5</v>
      </c>
      <c r="G1722" s="3">
        <v>100</v>
      </c>
      <c r="I1722" s="7"/>
      <c r="J1722" s="8"/>
      <c r="K1722" s="9"/>
    </row>
    <row r="1723" spans="1:11" x14ac:dyDescent="0.25">
      <c r="A1723" t="str">
        <f>"00781205305"</f>
        <v>00781205305</v>
      </c>
      <c r="B1723" t="s">
        <v>2372</v>
      </c>
      <c r="C1723" t="s">
        <v>2381</v>
      </c>
      <c r="D1723">
        <v>500</v>
      </c>
      <c r="E1723" s="10" t="s">
        <v>11</v>
      </c>
      <c r="F1723" s="11">
        <v>5</v>
      </c>
      <c r="G1723">
        <v>500</v>
      </c>
      <c r="I1723" s="12"/>
      <c r="J1723" s="8"/>
      <c r="K1723" s="13"/>
    </row>
    <row r="1724" spans="1:11" x14ac:dyDescent="0.25">
      <c r="A1724" s="3" t="str">
        <f>"51672208002"</f>
        <v>51672208002</v>
      </c>
      <c r="B1724" s="3" t="s">
        <v>1087</v>
      </c>
      <c r="C1724" s="3" t="s">
        <v>2382</v>
      </c>
      <c r="D1724" s="3">
        <v>1</v>
      </c>
      <c r="E1724" s="4" t="s">
        <v>43</v>
      </c>
      <c r="F1724" s="5">
        <v>1</v>
      </c>
      <c r="G1724" s="3">
        <v>30</v>
      </c>
      <c r="I1724" s="7"/>
      <c r="J1724" s="8"/>
      <c r="K1724" s="9"/>
    </row>
    <row r="1725" spans="1:11" x14ac:dyDescent="0.25">
      <c r="A1725" t="str">
        <f>"51991052633"</f>
        <v>51991052633</v>
      </c>
      <c r="B1725" t="s">
        <v>1087</v>
      </c>
      <c r="C1725" t="s">
        <v>2383</v>
      </c>
      <c r="D1725">
        <v>30</v>
      </c>
      <c r="E1725" s="10" t="s">
        <v>11</v>
      </c>
      <c r="F1725" s="11">
        <v>250</v>
      </c>
      <c r="G1725">
        <v>30</v>
      </c>
      <c r="I1725" s="12"/>
      <c r="J1725" s="8"/>
      <c r="K1725" s="13"/>
    </row>
    <row r="1726" spans="1:11" x14ac:dyDescent="0.25">
      <c r="A1726" s="3" t="str">
        <f>"00527131101"</f>
        <v>00527131101</v>
      </c>
      <c r="B1726" s="3" t="s">
        <v>2384</v>
      </c>
      <c r="C1726" s="3" t="s">
        <v>2385</v>
      </c>
      <c r="D1726" s="3">
        <v>100</v>
      </c>
      <c r="E1726" s="4" t="s">
        <v>11</v>
      </c>
      <c r="F1726" s="5">
        <v>5</v>
      </c>
      <c r="G1726" s="3">
        <v>100</v>
      </c>
      <c r="I1726" s="7"/>
      <c r="J1726" s="8"/>
      <c r="K1726" s="9"/>
    </row>
    <row r="1727" spans="1:11" x14ac:dyDescent="0.25">
      <c r="A1727" t="str">
        <f>"62756001540"</f>
        <v>62756001540</v>
      </c>
      <c r="B1727" t="s">
        <v>654</v>
      </c>
      <c r="C1727" t="s">
        <v>2386</v>
      </c>
      <c r="D1727">
        <v>1</v>
      </c>
      <c r="E1727" s="10" t="s">
        <v>20</v>
      </c>
      <c r="F1727" s="11">
        <v>200</v>
      </c>
      <c r="G1727">
        <v>1</v>
      </c>
      <c r="I1727" s="12"/>
      <c r="J1727" s="8"/>
      <c r="K1727" s="13"/>
    </row>
    <row r="1728" spans="1:11" x14ac:dyDescent="0.25">
      <c r="A1728" s="3" t="str">
        <f>"00574082001"</f>
        <v>00574082001</v>
      </c>
      <c r="B1728" s="3" t="s">
        <v>654</v>
      </c>
      <c r="C1728" s="3" t="s">
        <v>2387</v>
      </c>
      <c r="D1728" s="3">
        <v>1</v>
      </c>
      <c r="E1728" s="4" t="s">
        <v>20</v>
      </c>
      <c r="F1728" s="5">
        <v>200</v>
      </c>
      <c r="G1728" s="3">
        <v>1</v>
      </c>
      <c r="I1728" s="7"/>
      <c r="J1728" s="8"/>
      <c r="K1728" s="9"/>
    </row>
    <row r="1729" spans="1:11" x14ac:dyDescent="0.25">
      <c r="A1729" t="str">
        <f>"13533013101"</f>
        <v>13533013101</v>
      </c>
      <c r="B1729" t="s">
        <v>2388</v>
      </c>
      <c r="C1729" t="s">
        <v>2389</v>
      </c>
      <c r="D1729">
        <v>5</v>
      </c>
      <c r="G1729">
        <v>0.5</v>
      </c>
      <c r="I1729" s="12"/>
      <c r="J1729" s="8"/>
      <c r="K1729" s="13"/>
    </row>
    <row r="1730" spans="1:11" x14ac:dyDescent="0.25">
      <c r="A1730" s="3" t="str">
        <f>"42858070101"</f>
        <v>42858070101</v>
      </c>
      <c r="B1730" s="3" t="s">
        <v>2390</v>
      </c>
      <c r="C1730" s="3" t="s">
        <v>2391</v>
      </c>
      <c r="D1730" s="3">
        <v>100</v>
      </c>
      <c r="E1730" s="4" t="s">
        <v>33</v>
      </c>
      <c r="F1730" s="5">
        <v>400</v>
      </c>
      <c r="G1730" s="3">
        <v>100</v>
      </c>
      <c r="I1730" s="7"/>
      <c r="J1730" s="8"/>
      <c r="K1730" s="9"/>
    </row>
    <row r="1731" spans="1:11" x14ac:dyDescent="0.25">
      <c r="A1731" t="str">
        <f>"63323001302"</f>
        <v>63323001302</v>
      </c>
      <c r="B1731" t="s">
        <v>2392</v>
      </c>
      <c r="C1731" t="s">
        <v>2393</v>
      </c>
      <c r="D1731">
        <v>50</v>
      </c>
      <c r="E1731" s="10" t="s">
        <v>20</v>
      </c>
      <c r="F1731" s="11">
        <v>200</v>
      </c>
      <c r="G1731">
        <v>2</v>
      </c>
      <c r="I1731" s="12"/>
      <c r="J1731" s="8"/>
      <c r="K1731" s="13"/>
    </row>
    <row r="1732" spans="1:11" x14ac:dyDescent="0.25">
      <c r="A1732" s="3" t="str">
        <f>"00378300501"</f>
        <v>00378300501</v>
      </c>
      <c r="B1732" s="3" t="s">
        <v>2394</v>
      </c>
      <c r="C1732" s="3" t="s">
        <v>2395</v>
      </c>
      <c r="D1732" s="3">
        <v>100</v>
      </c>
      <c r="E1732" s="4" t="s">
        <v>11</v>
      </c>
      <c r="F1732" s="5">
        <v>5</v>
      </c>
      <c r="G1732" s="3">
        <v>100</v>
      </c>
      <c r="I1732" s="7"/>
      <c r="J1732" s="8"/>
      <c r="K1732" s="9"/>
    </row>
    <row r="1733" spans="1:11" x14ac:dyDescent="0.25">
      <c r="A1733" t="str">
        <f>"58468003002"</f>
        <v>58468003002</v>
      </c>
      <c r="B1733" t="s">
        <v>2396</v>
      </c>
      <c r="C1733" t="s">
        <v>2397</v>
      </c>
      <c r="D1733">
        <v>2</v>
      </c>
      <c r="G1733">
        <v>1</v>
      </c>
      <c r="I1733" s="12"/>
      <c r="J1733" s="8"/>
      <c r="K1733" s="13"/>
    </row>
    <row r="1734" spans="1:11" x14ac:dyDescent="0.25">
      <c r="A1734" s="3" t="str">
        <f>"61314022705"</f>
        <v>61314022705</v>
      </c>
      <c r="B1734" s="3" t="s">
        <v>2398</v>
      </c>
      <c r="C1734" s="3" t="s">
        <v>2399</v>
      </c>
      <c r="D1734" s="3">
        <v>5</v>
      </c>
      <c r="E1734" s="4" t="s">
        <v>43</v>
      </c>
      <c r="F1734" s="5">
        <v>0.5</v>
      </c>
      <c r="G1734" s="3">
        <v>5</v>
      </c>
      <c r="I1734" s="7"/>
      <c r="J1734" s="8"/>
      <c r="K1734" s="9"/>
    </row>
    <row r="1735" spans="1:11" x14ac:dyDescent="0.25">
      <c r="A1735" t="str">
        <f>"64980051405"</f>
        <v>64980051405</v>
      </c>
      <c r="B1735" t="s">
        <v>2398</v>
      </c>
      <c r="C1735" t="s">
        <v>2400</v>
      </c>
      <c r="D1735">
        <v>5</v>
      </c>
      <c r="E1735" s="10" t="s">
        <v>43</v>
      </c>
      <c r="F1735" s="11">
        <v>0.5</v>
      </c>
      <c r="G1735">
        <v>5</v>
      </c>
      <c r="I1735" s="12"/>
      <c r="J1735" s="8"/>
      <c r="K1735" s="13"/>
    </row>
    <row r="1736" spans="1:11" x14ac:dyDescent="0.25">
      <c r="A1736" s="3" t="str">
        <f>"61314022605"</f>
        <v>61314022605</v>
      </c>
      <c r="B1736" s="3" t="s">
        <v>2398</v>
      </c>
      <c r="C1736" s="3" t="s">
        <v>2401</v>
      </c>
      <c r="D1736" s="3">
        <v>5</v>
      </c>
      <c r="E1736" s="4" t="s">
        <v>43</v>
      </c>
      <c r="F1736" s="5">
        <v>0.25</v>
      </c>
      <c r="G1736" s="3">
        <v>5</v>
      </c>
      <c r="I1736" s="7"/>
      <c r="J1736" s="8"/>
      <c r="K1736" s="9"/>
    </row>
    <row r="1737" spans="1:11" x14ac:dyDescent="0.25">
      <c r="A1737" t="str">
        <f>"00054034807"</f>
        <v>00054034807</v>
      </c>
      <c r="B1737" t="s">
        <v>2402</v>
      </c>
      <c r="C1737" t="s">
        <v>2403</v>
      </c>
      <c r="D1737">
        <v>20</v>
      </c>
      <c r="E1737" s="10" t="s">
        <v>11</v>
      </c>
      <c r="F1737" s="11">
        <v>500</v>
      </c>
      <c r="G1737">
        <v>20</v>
      </c>
      <c r="I1737" s="12"/>
      <c r="J1737" s="8"/>
      <c r="K1737" s="13"/>
    </row>
    <row r="1738" spans="1:11" x14ac:dyDescent="0.25">
      <c r="A1738" s="3" t="str">
        <f>"49702022813"</f>
        <v>49702022813</v>
      </c>
      <c r="B1738" s="3" t="s">
        <v>2404</v>
      </c>
      <c r="C1738" s="3" t="s">
        <v>2405</v>
      </c>
      <c r="D1738" s="3">
        <v>30</v>
      </c>
      <c r="E1738" s="4" t="s">
        <v>11</v>
      </c>
      <c r="F1738" s="5">
        <v>50</v>
      </c>
      <c r="G1738" s="3">
        <v>30</v>
      </c>
      <c r="I1738" s="7"/>
      <c r="J1738" s="8"/>
      <c r="K1738" s="9"/>
    </row>
    <row r="1739" spans="1:11" x14ac:dyDescent="0.25">
      <c r="A1739" t="str">
        <f>"00065064835"</f>
        <v>00065064835</v>
      </c>
      <c r="B1739" t="s">
        <v>2406</v>
      </c>
      <c r="C1739" t="s">
        <v>2407</v>
      </c>
      <c r="D1739">
        <v>3.5</v>
      </c>
      <c r="G1739">
        <v>3.5</v>
      </c>
      <c r="I1739" s="12"/>
      <c r="J1739" s="8"/>
      <c r="K1739" s="13"/>
    </row>
    <row r="1740" spans="1:11" x14ac:dyDescent="0.25">
      <c r="A1740" s="3" t="str">
        <f>"61314064305"</f>
        <v>61314064305</v>
      </c>
      <c r="B1740" s="3" t="s">
        <v>2408</v>
      </c>
      <c r="C1740" s="3" t="s">
        <v>2409</v>
      </c>
      <c r="D1740" s="3">
        <v>5</v>
      </c>
      <c r="E1740" s="4" t="s">
        <v>43</v>
      </c>
      <c r="F1740" s="5">
        <v>0.3</v>
      </c>
      <c r="G1740" s="3">
        <v>5</v>
      </c>
      <c r="I1740" s="7"/>
      <c r="J1740" s="8"/>
      <c r="K1740" s="9"/>
    </row>
    <row r="1741" spans="1:11" x14ac:dyDescent="0.25">
      <c r="A1741" t="str">
        <f>"63323030602"</f>
        <v>63323030602</v>
      </c>
      <c r="B1741" t="s">
        <v>2410</v>
      </c>
      <c r="C1741" t="s">
        <v>2411</v>
      </c>
      <c r="D1741">
        <v>50</v>
      </c>
      <c r="E1741" s="10" t="s">
        <v>20</v>
      </c>
      <c r="F1741" s="11">
        <v>40</v>
      </c>
      <c r="G1741">
        <v>2</v>
      </c>
      <c r="I1741" s="12"/>
      <c r="J1741" s="8"/>
      <c r="K1741" s="13"/>
    </row>
    <row r="1742" spans="1:11" x14ac:dyDescent="0.25">
      <c r="A1742" s="3" t="str">
        <f>"24208029505"</f>
        <v>24208029505</v>
      </c>
      <c r="B1742" s="3" t="s">
        <v>2406</v>
      </c>
      <c r="C1742" s="3" t="s">
        <v>2412</v>
      </c>
      <c r="D1742" s="3">
        <v>5</v>
      </c>
      <c r="E1742" s="4">
        <v>1E-3</v>
      </c>
      <c r="F1742" s="5" t="s">
        <v>2413</v>
      </c>
      <c r="G1742" s="3">
        <v>5</v>
      </c>
      <c r="I1742" s="7"/>
      <c r="J1742" s="8"/>
      <c r="K1742" s="9"/>
    </row>
    <row r="1743" spans="1:11" x14ac:dyDescent="0.25">
      <c r="A1743" t="str">
        <f>"00065064435"</f>
        <v>00065064435</v>
      </c>
      <c r="B1743" t="s">
        <v>2408</v>
      </c>
      <c r="C1743" t="s">
        <v>2414</v>
      </c>
      <c r="D1743">
        <v>3.5</v>
      </c>
      <c r="E1743" s="10" t="s">
        <v>43</v>
      </c>
      <c r="F1743" s="11">
        <v>0.3</v>
      </c>
      <c r="G1743">
        <v>3.5</v>
      </c>
      <c r="I1743" s="12"/>
      <c r="J1743" s="8"/>
      <c r="K1743" s="13"/>
    </row>
    <row r="1744" spans="1:11" x14ac:dyDescent="0.25">
      <c r="A1744" s="3" t="str">
        <f>"51672202001"</f>
        <v>51672202001</v>
      </c>
      <c r="B1744" s="3" t="s">
        <v>2415</v>
      </c>
      <c r="C1744" s="3" t="s">
        <v>2416</v>
      </c>
      <c r="D1744" s="3">
        <v>0.5</v>
      </c>
      <c r="E1744" s="4" t="s">
        <v>43</v>
      </c>
      <c r="F1744" s="5">
        <v>1</v>
      </c>
      <c r="G1744" s="3">
        <v>15</v>
      </c>
      <c r="I1744" s="7"/>
      <c r="J1744" s="8"/>
      <c r="K1744" s="9"/>
    </row>
    <row r="1745" spans="1:11" x14ac:dyDescent="0.25">
      <c r="A1745" t="str">
        <f>"00536515026"</f>
        <v>00536515026</v>
      </c>
      <c r="B1745" t="s">
        <v>2415</v>
      </c>
      <c r="C1745" t="s">
        <v>2417</v>
      </c>
      <c r="D1745">
        <v>45</v>
      </c>
      <c r="E1745" s="10" t="s">
        <v>43</v>
      </c>
      <c r="F1745" s="11">
        <v>1</v>
      </c>
      <c r="G1745">
        <v>45</v>
      </c>
      <c r="I1745" s="12"/>
      <c r="J1745" s="8"/>
      <c r="K1745" s="13"/>
    </row>
    <row r="1746" spans="1:11" x14ac:dyDescent="0.25">
      <c r="A1746" s="3" t="str">
        <f>"68084034401"</f>
        <v>68084034401</v>
      </c>
      <c r="B1746" s="3" t="s">
        <v>2418</v>
      </c>
      <c r="C1746" s="3" t="s">
        <v>2419</v>
      </c>
      <c r="D1746" s="3">
        <v>100</v>
      </c>
      <c r="E1746" s="4" t="s">
        <v>11</v>
      </c>
      <c r="F1746" s="5">
        <v>100</v>
      </c>
      <c r="G1746" s="3">
        <v>100</v>
      </c>
      <c r="I1746" s="7"/>
      <c r="J1746" s="8"/>
      <c r="K1746" s="9"/>
    </row>
    <row r="1747" spans="1:11" x14ac:dyDescent="0.25">
      <c r="A1747" t="str">
        <f>"68462010910"</f>
        <v>68462010910</v>
      </c>
      <c r="B1747" t="s">
        <v>2418</v>
      </c>
      <c r="C1747" t="s">
        <v>2420</v>
      </c>
      <c r="D1747">
        <v>1000</v>
      </c>
      <c r="E1747" s="10" t="s">
        <v>11</v>
      </c>
      <c r="F1747" s="11">
        <v>100</v>
      </c>
      <c r="G1747">
        <v>1000</v>
      </c>
      <c r="I1747" s="12"/>
      <c r="J1747" s="8"/>
      <c r="K1747" s="13"/>
    </row>
    <row r="1748" spans="1:11" x14ac:dyDescent="0.25">
      <c r="A1748" s="3" t="str">
        <f>"68084034201"</f>
        <v>68084034201</v>
      </c>
      <c r="B1748" s="3" t="s">
        <v>2418</v>
      </c>
      <c r="C1748" s="3" t="s">
        <v>2421</v>
      </c>
      <c r="D1748" s="3">
        <v>100</v>
      </c>
      <c r="E1748" s="4" t="s">
        <v>11</v>
      </c>
      <c r="F1748" s="5">
        <v>25</v>
      </c>
      <c r="G1748" s="3">
        <v>100</v>
      </c>
      <c r="I1748" s="7"/>
      <c r="J1748" s="8"/>
      <c r="K1748" s="9"/>
    </row>
    <row r="1749" spans="1:11" x14ac:dyDescent="0.25">
      <c r="A1749" t="str">
        <f>"68462010810"</f>
        <v>68462010810</v>
      </c>
      <c r="B1749" t="s">
        <v>2418</v>
      </c>
      <c r="C1749" t="s">
        <v>2422</v>
      </c>
      <c r="D1749">
        <v>1000</v>
      </c>
      <c r="E1749" s="10" t="s">
        <v>11</v>
      </c>
      <c r="F1749" s="11">
        <v>25</v>
      </c>
      <c r="G1749">
        <v>1000</v>
      </c>
      <c r="I1749" s="12"/>
      <c r="J1749" s="8"/>
      <c r="K1749" s="13"/>
    </row>
    <row r="1750" spans="1:11" x14ac:dyDescent="0.25">
      <c r="A1750" s="3" t="str">
        <f>"68462010860"</f>
        <v>68462010860</v>
      </c>
      <c r="B1750" s="3" t="s">
        <v>2418</v>
      </c>
      <c r="C1750" s="3" t="s">
        <v>2423</v>
      </c>
      <c r="D1750" s="3">
        <v>60</v>
      </c>
      <c r="E1750" s="4" t="s">
        <v>11</v>
      </c>
      <c r="F1750" s="5">
        <v>25</v>
      </c>
      <c r="G1750" s="3">
        <v>60</v>
      </c>
      <c r="I1750" s="7"/>
      <c r="J1750" s="8"/>
      <c r="K1750" s="9"/>
    </row>
    <row r="1751" spans="1:11" x14ac:dyDescent="0.25">
      <c r="A1751" t="str">
        <f>"31722053001"</f>
        <v>31722053001</v>
      </c>
      <c r="B1751" t="s">
        <v>2424</v>
      </c>
      <c r="C1751" t="s">
        <v>2425</v>
      </c>
      <c r="D1751">
        <v>100</v>
      </c>
      <c r="E1751" s="10" t="s">
        <v>11</v>
      </c>
      <c r="F1751" s="11">
        <v>10</v>
      </c>
      <c r="G1751">
        <v>100</v>
      </c>
      <c r="I1751" s="12"/>
      <c r="J1751" s="8"/>
      <c r="K1751" s="13"/>
    </row>
    <row r="1752" spans="1:11" x14ac:dyDescent="0.25">
      <c r="A1752" s="3" t="str">
        <f>"31722053201"</f>
        <v>31722053201</v>
      </c>
      <c r="B1752" s="3" t="s">
        <v>2424</v>
      </c>
      <c r="C1752" s="3" t="s">
        <v>2426</v>
      </c>
      <c r="D1752" s="3">
        <v>100</v>
      </c>
      <c r="E1752" s="4" t="s">
        <v>11</v>
      </c>
      <c r="F1752" s="5">
        <v>100</v>
      </c>
      <c r="G1752" s="3">
        <v>100</v>
      </c>
      <c r="I1752" s="7"/>
      <c r="J1752" s="8"/>
      <c r="K1752" s="9"/>
    </row>
    <row r="1753" spans="1:11" x14ac:dyDescent="0.25">
      <c r="A1753" t="str">
        <f>"50111091701"</f>
        <v>50111091701</v>
      </c>
      <c r="B1753" t="s">
        <v>2424</v>
      </c>
      <c r="C1753" t="s">
        <v>2427</v>
      </c>
      <c r="D1753">
        <v>100</v>
      </c>
      <c r="E1753" s="10" t="s">
        <v>11</v>
      </c>
      <c r="F1753" s="11">
        <v>20</v>
      </c>
      <c r="G1753">
        <v>100</v>
      </c>
      <c r="I1753" s="12"/>
      <c r="J1753" s="8"/>
      <c r="K1753" s="13"/>
    </row>
    <row r="1754" spans="1:11" x14ac:dyDescent="0.25">
      <c r="A1754" s="3" t="str">
        <f>"31722053101"</f>
        <v>31722053101</v>
      </c>
      <c r="B1754" s="3" t="s">
        <v>2424</v>
      </c>
      <c r="C1754" s="3" t="s">
        <v>2427</v>
      </c>
      <c r="D1754" s="3">
        <v>100</v>
      </c>
      <c r="E1754" s="4" t="s">
        <v>11</v>
      </c>
      <c r="F1754" s="5">
        <v>20</v>
      </c>
      <c r="G1754" s="3">
        <v>100</v>
      </c>
      <c r="I1754" s="7"/>
      <c r="J1754" s="8"/>
      <c r="K1754" s="9"/>
    </row>
    <row r="1755" spans="1:11" x14ac:dyDescent="0.25">
      <c r="C1755" t="s">
        <v>2428</v>
      </c>
      <c r="D1755">
        <v>100</v>
      </c>
      <c r="G1755">
        <v>0</v>
      </c>
      <c r="I1755" s="12"/>
      <c r="J1755" s="8"/>
      <c r="K1755" s="13"/>
    </row>
    <row r="1756" spans="1:11" x14ac:dyDescent="0.25">
      <c r="A1756" s="3" t="str">
        <f>"51079099120"</f>
        <v>51079099120</v>
      </c>
      <c r="B1756" s="3" t="s">
        <v>2429</v>
      </c>
      <c r="C1756" s="3" t="s">
        <v>2430</v>
      </c>
      <c r="D1756" s="3">
        <v>100</v>
      </c>
      <c r="E1756" s="4" t="s">
        <v>11</v>
      </c>
      <c r="F1756" s="5">
        <v>50</v>
      </c>
      <c r="G1756" s="3">
        <v>100</v>
      </c>
      <c r="I1756" s="7"/>
      <c r="J1756" s="8"/>
      <c r="K1756" s="9"/>
    </row>
    <row r="1757" spans="1:11" x14ac:dyDescent="0.25">
      <c r="A1757" t="str">
        <f>"00591372030"</f>
        <v>00591372030</v>
      </c>
      <c r="B1757" t="s">
        <v>2431</v>
      </c>
      <c r="C1757" t="s">
        <v>2432</v>
      </c>
      <c r="D1757">
        <v>30</v>
      </c>
      <c r="E1757" s="10" t="s">
        <v>11</v>
      </c>
      <c r="F1757" s="11">
        <v>650</v>
      </c>
      <c r="G1757">
        <v>30</v>
      </c>
      <c r="I1757" s="12"/>
      <c r="J1757" s="8"/>
      <c r="K1757" s="13"/>
    </row>
    <row r="1758" spans="1:11" x14ac:dyDescent="0.25">
      <c r="A1758" s="3" t="str">
        <f>"10019055303"</f>
        <v>10019055303</v>
      </c>
      <c r="B1758" s="3" t="s">
        <v>2433</v>
      </c>
      <c r="C1758" s="3" t="s">
        <v>2434</v>
      </c>
      <c r="D1758" s="3">
        <v>10</v>
      </c>
      <c r="E1758" s="4" t="s">
        <v>11</v>
      </c>
      <c r="F1758" s="5">
        <v>1.5</v>
      </c>
      <c r="G1758" s="3">
        <v>10</v>
      </c>
      <c r="I1758" s="7"/>
      <c r="J1758" s="8"/>
      <c r="K1758" s="9"/>
    </row>
    <row r="1759" spans="1:11" x14ac:dyDescent="0.25">
      <c r="A1759" t="str">
        <f>"66758020854"</f>
        <v>66758020854</v>
      </c>
      <c r="B1759" t="s">
        <v>2433</v>
      </c>
      <c r="C1759" t="s">
        <v>2435</v>
      </c>
      <c r="D1759">
        <v>4</v>
      </c>
      <c r="E1759" s="10" t="s">
        <v>11</v>
      </c>
      <c r="F1759" s="11">
        <v>1.5</v>
      </c>
      <c r="G1759">
        <v>4</v>
      </c>
      <c r="I1759" s="12"/>
      <c r="J1759" s="8"/>
      <c r="K1759" s="13"/>
    </row>
    <row r="1760" spans="1:11" x14ac:dyDescent="0.25">
      <c r="A1760" s="3" t="str">
        <f>"00591559001"</f>
        <v>00591559001</v>
      </c>
      <c r="B1760" s="3" t="s">
        <v>2436</v>
      </c>
      <c r="C1760" s="3" t="s">
        <v>2437</v>
      </c>
      <c r="D1760" s="3">
        <v>100</v>
      </c>
      <c r="E1760" s="4" t="s">
        <v>11</v>
      </c>
      <c r="F1760" s="5">
        <v>10</v>
      </c>
      <c r="G1760" s="3">
        <v>100</v>
      </c>
      <c r="I1760" s="7"/>
      <c r="J1760" s="8"/>
      <c r="K1760" s="9"/>
    </row>
    <row r="1761" spans="1:11" x14ac:dyDescent="0.25">
      <c r="A1761" t="str">
        <f>"00065026025"</f>
        <v>00065026025</v>
      </c>
      <c r="B1761" t="s">
        <v>2438</v>
      </c>
      <c r="C1761" t="s">
        <v>2439</v>
      </c>
      <c r="D1761">
        <v>2.5</v>
      </c>
      <c r="E1761" s="10">
        <v>4.0000000000000003E-5</v>
      </c>
      <c r="G1761">
        <v>2.5</v>
      </c>
      <c r="I1761" s="12"/>
      <c r="J1761" s="8"/>
      <c r="K1761" s="13"/>
    </row>
    <row r="1762" spans="1:11" x14ac:dyDescent="0.25">
      <c r="A1762" s="3" t="str">
        <f>"00065026005"</f>
        <v>00065026005</v>
      </c>
      <c r="B1762" s="3" t="s">
        <v>2438</v>
      </c>
      <c r="C1762" s="3" t="s">
        <v>2440</v>
      </c>
      <c r="D1762" s="3">
        <v>5</v>
      </c>
      <c r="E1762" s="4">
        <v>4.0000000000000003E-5</v>
      </c>
      <c r="F1762" s="5"/>
      <c r="G1762" s="3">
        <v>5</v>
      </c>
      <c r="I1762" s="7"/>
      <c r="J1762" s="8"/>
      <c r="K1762" s="9"/>
    </row>
    <row r="1763" spans="1:11" x14ac:dyDescent="0.25">
      <c r="A1763" t="str">
        <f>"00904655561"</f>
        <v>00904655561</v>
      </c>
      <c r="B1763" t="s">
        <v>2441</v>
      </c>
      <c r="C1763" t="s">
        <v>2442</v>
      </c>
      <c r="D1763">
        <v>100</v>
      </c>
      <c r="E1763" s="10" t="s">
        <v>11</v>
      </c>
      <c r="F1763" s="11">
        <v>100</v>
      </c>
      <c r="G1763">
        <v>100</v>
      </c>
      <c r="I1763" s="12"/>
      <c r="J1763" s="8"/>
      <c r="K1763" s="13"/>
    </row>
    <row r="1764" spans="1:11" x14ac:dyDescent="0.25">
      <c r="A1764" s="3" t="str">
        <f>"50111043402"</f>
        <v>50111043402</v>
      </c>
      <c r="B1764" s="3" t="s">
        <v>2441</v>
      </c>
      <c r="C1764" s="3" t="s">
        <v>2443</v>
      </c>
      <c r="D1764" s="3">
        <v>500</v>
      </c>
      <c r="E1764" s="4" t="s">
        <v>11</v>
      </c>
      <c r="F1764" s="5">
        <v>100</v>
      </c>
      <c r="G1764" s="3">
        <v>500</v>
      </c>
      <c r="I1764" s="7"/>
      <c r="J1764" s="8"/>
      <c r="K1764" s="9"/>
    </row>
    <row r="1765" spans="1:11" x14ac:dyDescent="0.25">
      <c r="A1765" t="str">
        <f>"50111044102"</f>
        <v>50111044102</v>
      </c>
      <c r="B1765" t="s">
        <v>2441</v>
      </c>
      <c r="C1765" t="s">
        <v>2444</v>
      </c>
      <c r="D1765">
        <v>500</v>
      </c>
      <c r="E1765" s="10" t="s">
        <v>11</v>
      </c>
      <c r="F1765" s="11">
        <v>150</v>
      </c>
      <c r="G1765">
        <v>500</v>
      </c>
      <c r="I1765" s="12"/>
      <c r="J1765" s="8"/>
      <c r="K1765" s="13"/>
    </row>
    <row r="1766" spans="1:11" x14ac:dyDescent="0.25">
      <c r="A1766" s="3" t="str">
        <f>"50111043303"</f>
        <v>50111043303</v>
      </c>
      <c r="B1766" s="3" t="s">
        <v>2441</v>
      </c>
      <c r="C1766" s="3" t="s">
        <v>2445</v>
      </c>
      <c r="D1766" s="3">
        <v>1000</v>
      </c>
      <c r="E1766" s="4" t="s">
        <v>11</v>
      </c>
      <c r="F1766" s="5">
        <v>50</v>
      </c>
      <c r="G1766" s="3">
        <v>1000</v>
      </c>
      <c r="I1766" s="7"/>
      <c r="J1766" s="8"/>
      <c r="K1766" s="9"/>
    </row>
    <row r="1767" spans="1:11" x14ac:dyDescent="0.25">
      <c r="A1767" t="str">
        <f>"00904655461"</f>
        <v>00904655461</v>
      </c>
      <c r="B1767" t="s">
        <v>2441</v>
      </c>
      <c r="C1767" t="s">
        <v>2446</v>
      </c>
      <c r="D1767">
        <v>100</v>
      </c>
      <c r="E1767" s="10" t="s">
        <v>11</v>
      </c>
      <c r="F1767" s="11">
        <v>50</v>
      </c>
      <c r="G1767">
        <v>100</v>
      </c>
      <c r="I1767" s="12"/>
      <c r="J1767" s="8"/>
      <c r="K1767" s="13"/>
    </row>
    <row r="1768" spans="1:11" x14ac:dyDescent="0.25">
      <c r="A1768" s="3" t="str">
        <f>"00472011745"</f>
        <v>00472011745</v>
      </c>
      <c r="B1768" s="3" t="s">
        <v>2447</v>
      </c>
      <c r="C1768" s="3" t="s">
        <v>2448</v>
      </c>
      <c r="D1768" s="3">
        <v>45</v>
      </c>
      <c r="E1768" s="4">
        <v>2.5000000000000001E-4</v>
      </c>
      <c r="F1768" s="5"/>
      <c r="G1768" s="3">
        <v>45</v>
      </c>
      <c r="I1768" s="7"/>
      <c r="J1768" s="8"/>
      <c r="K1768" s="9"/>
    </row>
    <row r="1769" spans="1:11" x14ac:dyDescent="0.25">
      <c r="A1769" t="str">
        <f>"66530025715"</f>
        <v>66530025715</v>
      </c>
      <c r="B1769" t="s">
        <v>2447</v>
      </c>
      <c r="C1769" t="s">
        <v>2449</v>
      </c>
      <c r="D1769">
        <v>15</v>
      </c>
      <c r="E1769" s="10">
        <v>2.5000000000000001E-4</v>
      </c>
      <c r="G1769">
        <v>15</v>
      </c>
      <c r="I1769" s="12"/>
      <c r="J1769" s="8"/>
      <c r="K1769" s="13"/>
    </row>
    <row r="1770" spans="1:11" x14ac:dyDescent="0.25">
      <c r="A1770" s="3" t="str">
        <f>"66530025420"</f>
        <v>66530025420</v>
      </c>
      <c r="B1770" s="3" t="s">
        <v>2447</v>
      </c>
      <c r="C1770" s="3" t="s">
        <v>2450</v>
      </c>
      <c r="D1770" s="3">
        <v>20</v>
      </c>
      <c r="E1770" s="4" t="s">
        <v>43</v>
      </c>
      <c r="F1770" s="5">
        <v>0.05</v>
      </c>
      <c r="G1770" s="3">
        <v>20</v>
      </c>
      <c r="I1770" s="7"/>
      <c r="J1770" s="8"/>
      <c r="K1770" s="9"/>
    </row>
    <row r="1771" spans="1:11" x14ac:dyDescent="0.25">
      <c r="A1771" t="str">
        <f>"66530025520"</f>
        <v>66530025520</v>
      </c>
      <c r="B1771" t="s">
        <v>2447</v>
      </c>
      <c r="C1771" t="s">
        <v>2451</v>
      </c>
      <c r="D1771">
        <v>20</v>
      </c>
      <c r="E1771" s="10" t="s">
        <v>43</v>
      </c>
      <c r="F1771" s="11">
        <v>0.1</v>
      </c>
      <c r="G1771">
        <v>20</v>
      </c>
      <c r="I1771" s="12"/>
      <c r="J1771" s="8"/>
      <c r="K1771" s="13"/>
    </row>
    <row r="1772" spans="1:11" x14ac:dyDescent="0.25">
      <c r="A1772" s="3" t="str">
        <f>"43478024120"</f>
        <v>43478024120</v>
      </c>
      <c r="B1772" s="3" t="s">
        <v>2447</v>
      </c>
      <c r="C1772" s="3" t="s">
        <v>2451</v>
      </c>
      <c r="D1772" s="3">
        <v>20</v>
      </c>
      <c r="E1772" s="4" t="s">
        <v>43</v>
      </c>
      <c r="F1772" s="5">
        <v>0.1</v>
      </c>
      <c r="G1772" s="3">
        <v>20</v>
      </c>
      <c r="I1772" s="7"/>
      <c r="J1772" s="8"/>
      <c r="K1772" s="9"/>
    </row>
    <row r="1773" spans="1:11" x14ac:dyDescent="0.25">
      <c r="A1773" t="str">
        <f>"45802005436"</f>
        <v>45802005436</v>
      </c>
      <c r="B1773" t="s">
        <v>1292</v>
      </c>
      <c r="C1773" t="s">
        <v>2452</v>
      </c>
      <c r="D1773">
        <v>80</v>
      </c>
      <c r="E1773" s="10">
        <v>2.5000000000000001E-4</v>
      </c>
      <c r="G1773">
        <v>80</v>
      </c>
      <c r="I1773" s="12"/>
      <c r="J1773" s="8"/>
      <c r="K1773" s="13"/>
    </row>
    <row r="1774" spans="1:11" x14ac:dyDescent="0.25">
      <c r="A1774" s="3" t="str">
        <f>"51672126705"</f>
        <v>51672126705</v>
      </c>
      <c r="B1774" s="3" t="s">
        <v>1292</v>
      </c>
      <c r="C1774" s="3" t="s">
        <v>2453</v>
      </c>
      <c r="D1774" s="3">
        <v>5</v>
      </c>
      <c r="E1774" s="4" t="s">
        <v>2454</v>
      </c>
      <c r="F1774" s="5">
        <v>0.1</v>
      </c>
      <c r="G1774" s="3">
        <v>5</v>
      </c>
      <c r="I1774" s="7"/>
      <c r="J1774" s="8"/>
      <c r="K1774" s="9"/>
    </row>
    <row r="1775" spans="1:11" x14ac:dyDescent="0.25">
      <c r="A1775" t="str">
        <f>"00603786449"</f>
        <v>00603786449</v>
      </c>
      <c r="B1775" t="s">
        <v>1292</v>
      </c>
      <c r="C1775" t="s">
        <v>2455</v>
      </c>
      <c r="D1775">
        <v>60</v>
      </c>
      <c r="E1775" s="10" t="s">
        <v>43</v>
      </c>
      <c r="F1775" s="11">
        <v>0.1</v>
      </c>
      <c r="G1775">
        <v>60</v>
      </c>
      <c r="I1775" s="12"/>
      <c r="J1775" s="8"/>
      <c r="K1775" s="13"/>
    </row>
    <row r="1776" spans="1:11" x14ac:dyDescent="0.25">
      <c r="A1776" s="3" t="str">
        <f>"45802004935"</f>
        <v>45802004935</v>
      </c>
      <c r="B1776" s="3" t="s">
        <v>1292</v>
      </c>
      <c r="C1776" s="3" t="s">
        <v>2456</v>
      </c>
      <c r="D1776" s="3">
        <v>15</v>
      </c>
      <c r="E1776" s="4" t="s">
        <v>43</v>
      </c>
      <c r="F1776" s="5">
        <v>0.5</v>
      </c>
      <c r="G1776" s="3">
        <v>15</v>
      </c>
      <c r="I1776" s="7"/>
      <c r="J1776" s="8"/>
      <c r="K1776" s="9"/>
    </row>
    <row r="1777" spans="1:11" x14ac:dyDescent="0.25">
      <c r="A1777" t="str">
        <f>"45802005535"</f>
        <v>45802005535</v>
      </c>
      <c r="B1777" t="s">
        <v>1292</v>
      </c>
      <c r="C1777" t="s">
        <v>2457</v>
      </c>
      <c r="D1777">
        <v>15</v>
      </c>
      <c r="E1777" s="10" t="s">
        <v>43</v>
      </c>
      <c r="F1777" s="11">
        <v>0.1</v>
      </c>
      <c r="G1777">
        <v>15</v>
      </c>
      <c r="I1777" s="12"/>
      <c r="J1777" s="8"/>
      <c r="K1777" s="13"/>
    </row>
    <row r="1778" spans="1:11" x14ac:dyDescent="0.25">
      <c r="A1778" s="3" t="str">
        <f>"00168000615"</f>
        <v>00168000615</v>
      </c>
      <c r="B1778" s="3" t="s">
        <v>1292</v>
      </c>
      <c r="C1778" s="3" t="s">
        <v>2457</v>
      </c>
      <c r="D1778" s="3">
        <v>15</v>
      </c>
      <c r="E1778" s="4" t="s">
        <v>43</v>
      </c>
      <c r="F1778" s="5">
        <v>0.1</v>
      </c>
      <c r="G1778" s="3">
        <v>15</v>
      </c>
      <c r="I1778" s="7"/>
      <c r="J1778" s="8"/>
      <c r="K1778" s="9"/>
    </row>
    <row r="1779" spans="1:11" x14ac:dyDescent="0.25">
      <c r="A1779" t="str">
        <f>"45802005536"</f>
        <v>45802005536</v>
      </c>
      <c r="B1779" t="s">
        <v>1292</v>
      </c>
      <c r="C1779" t="s">
        <v>2458</v>
      </c>
      <c r="D1779">
        <v>80</v>
      </c>
      <c r="E1779" s="10" t="s">
        <v>43</v>
      </c>
      <c r="F1779" s="11">
        <v>0.1</v>
      </c>
      <c r="G1779">
        <v>80</v>
      </c>
      <c r="I1779" s="12"/>
      <c r="J1779" s="8"/>
      <c r="K1779" s="13"/>
    </row>
    <row r="1780" spans="1:11" x14ac:dyDescent="0.25">
      <c r="A1780" s="3" t="str">
        <f>"00168000215"</f>
        <v>00168000215</v>
      </c>
      <c r="B1780" s="3" t="s">
        <v>1292</v>
      </c>
      <c r="C1780" s="3" t="s">
        <v>2459</v>
      </c>
      <c r="D1780" s="3">
        <v>15</v>
      </c>
      <c r="E1780" s="4" t="s">
        <v>43</v>
      </c>
      <c r="F1780" s="5">
        <v>0.5</v>
      </c>
      <c r="G1780" s="3">
        <v>15</v>
      </c>
      <c r="I1780" s="7"/>
      <c r="J1780" s="8"/>
      <c r="K1780" s="9"/>
    </row>
    <row r="1781" spans="1:11" x14ac:dyDescent="0.25">
      <c r="A1781" t="str">
        <f>"00603786174"</f>
        <v>00603786174</v>
      </c>
      <c r="B1781" t="s">
        <v>1292</v>
      </c>
      <c r="C1781" t="s">
        <v>2460</v>
      </c>
      <c r="D1781">
        <v>15</v>
      </c>
      <c r="E1781" s="10">
        <v>2.5000000000000001E-4</v>
      </c>
      <c r="G1781">
        <v>15</v>
      </c>
      <c r="I1781" s="12"/>
      <c r="J1781" s="8"/>
      <c r="K1781" s="13"/>
    </row>
    <row r="1782" spans="1:11" x14ac:dyDescent="0.25">
      <c r="A1782" s="3" t="str">
        <f>"00713022915"</f>
        <v>00713022915</v>
      </c>
      <c r="B1782" s="3" t="s">
        <v>1292</v>
      </c>
      <c r="C1782" s="3" t="s">
        <v>2461</v>
      </c>
      <c r="D1782" s="3">
        <v>15</v>
      </c>
      <c r="E1782" s="4" t="s">
        <v>43</v>
      </c>
      <c r="F1782" s="5">
        <v>0.02</v>
      </c>
      <c r="G1782" s="3">
        <v>15</v>
      </c>
      <c r="I1782" s="7"/>
      <c r="J1782" s="8"/>
      <c r="K1782" s="9"/>
    </row>
    <row r="1783" spans="1:11" x14ac:dyDescent="0.25">
      <c r="A1783" t="str">
        <f>"45802006435"</f>
        <v>45802006435</v>
      </c>
      <c r="B1783" t="s">
        <v>1292</v>
      </c>
      <c r="C1783" t="s">
        <v>2462</v>
      </c>
      <c r="D1783">
        <v>15</v>
      </c>
      <c r="E1783" s="10" t="s">
        <v>43</v>
      </c>
      <c r="F1783" s="11">
        <v>0.1</v>
      </c>
      <c r="G1783">
        <v>15</v>
      </c>
      <c r="I1783" s="12"/>
      <c r="J1783" s="8"/>
      <c r="K1783" s="13"/>
    </row>
    <row r="1784" spans="1:11" x14ac:dyDescent="0.25">
      <c r="A1784" s="3" t="str">
        <f>"00168000415"</f>
        <v>00168000415</v>
      </c>
      <c r="B1784" s="3" t="s">
        <v>1292</v>
      </c>
      <c r="C1784" s="3" t="s">
        <v>2462</v>
      </c>
      <c r="D1784" s="3">
        <v>15</v>
      </c>
      <c r="E1784" s="4" t="s">
        <v>43</v>
      </c>
      <c r="F1784" s="5">
        <v>0.1</v>
      </c>
      <c r="G1784" s="3">
        <v>15</v>
      </c>
      <c r="I1784" s="7"/>
      <c r="J1784" s="8"/>
      <c r="K1784" s="9"/>
    </row>
    <row r="1785" spans="1:11" x14ac:dyDescent="0.25">
      <c r="A1785" t="str">
        <f>"45802006436"</f>
        <v>45802006436</v>
      </c>
      <c r="B1785" t="s">
        <v>1292</v>
      </c>
      <c r="C1785" t="s">
        <v>2463</v>
      </c>
      <c r="D1785">
        <v>80</v>
      </c>
      <c r="E1785" s="10" t="s">
        <v>43</v>
      </c>
      <c r="F1785" s="11">
        <v>0.1</v>
      </c>
      <c r="G1785">
        <v>80</v>
      </c>
      <c r="I1785" s="12"/>
      <c r="J1785" s="8"/>
      <c r="K1785" s="13"/>
    </row>
    <row r="1786" spans="1:11" x14ac:dyDescent="0.25">
      <c r="A1786" s="3" t="str">
        <f>"00713022815"</f>
        <v>00713022815</v>
      </c>
      <c r="B1786" s="3" t="s">
        <v>1292</v>
      </c>
      <c r="C1786" s="3" t="s">
        <v>2464</v>
      </c>
      <c r="D1786" s="3">
        <v>15</v>
      </c>
      <c r="E1786" s="4" t="s">
        <v>43</v>
      </c>
      <c r="F1786" s="5">
        <v>0.1</v>
      </c>
      <c r="G1786" s="3">
        <v>15</v>
      </c>
      <c r="I1786" s="7"/>
      <c r="J1786" s="8"/>
      <c r="K1786" s="9"/>
    </row>
    <row r="1787" spans="1:11" x14ac:dyDescent="0.25">
      <c r="A1787" t="str">
        <f>"00713022880"</f>
        <v>00713022880</v>
      </c>
      <c r="B1787" t="s">
        <v>1292</v>
      </c>
      <c r="C1787" t="s">
        <v>2465</v>
      </c>
      <c r="D1787">
        <v>80</v>
      </c>
      <c r="E1787" s="10" t="s">
        <v>43</v>
      </c>
      <c r="F1787" s="11">
        <v>0.1</v>
      </c>
      <c r="G1787">
        <v>80</v>
      </c>
      <c r="I1787" s="12"/>
      <c r="J1787" s="8"/>
      <c r="K1787" s="13"/>
    </row>
    <row r="1788" spans="1:11" x14ac:dyDescent="0.25">
      <c r="A1788" s="3" t="str">
        <f>"00527163210"</f>
        <v>00527163210</v>
      </c>
      <c r="B1788" s="3" t="s">
        <v>2466</v>
      </c>
      <c r="C1788" s="3" t="s">
        <v>2467</v>
      </c>
      <c r="D1788" s="3">
        <v>1000</v>
      </c>
      <c r="E1788" s="4" t="s">
        <v>2468</v>
      </c>
      <c r="F1788" s="5">
        <v>37.5</v>
      </c>
      <c r="G1788" s="3">
        <v>1000</v>
      </c>
      <c r="I1788" s="7"/>
      <c r="J1788" s="8"/>
      <c r="K1788" s="9"/>
    </row>
    <row r="1789" spans="1:11" x14ac:dyDescent="0.25">
      <c r="A1789" t="str">
        <f>"00781100801"</f>
        <v>00781100801</v>
      </c>
      <c r="B1789" t="s">
        <v>2466</v>
      </c>
      <c r="C1789" t="s">
        <v>2469</v>
      </c>
      <c r="D1789">
        <v>100</v>
      </c>
      <c r="E1789" s="10" t="s">
        <v>806</v>
      </c>
      <c r="F1789" s="11" t="s">
        <v>2470</v>
      </c>
      <c r="G1789">
        <v>100</v>
      </c>
      <c r="I1789" s="12"/>
      <c r="J1789" s="8"/>
      <c r="K1789" s="13"/>
    </row>
    <row r="1790" spans="1:11" x14ac:dyDescent="0.25">
      <c r="A1790" s="3" t="str">
        <f>"00074612390"</f>
        <v>00074612390</v>
      </c>
      <c r="B1790" s="3" t="s">
        <v>2471</v>
      </c>
      <c r="C1790" s="3" t="s">
        <v>2472</v>
      </c>
      <c r="D1790" s="3">
        <v>90</v>
      </c>
      <c r="E1790" s="4" t="s">
        <v>11</v>
      </c>
      <c r="F1790" s="5">
        <v>145</v>
      </c>
      <c r="G1790" s="3">
        <v>90</v>
      </c>
      <c r="I1790" s="7"/>
      <c r="J1790" s="8"/>
      <c r="K1790" s="9"/>
    </row>
    <row r="1791" spans="1:11" x14ac:dyDescent="0.25">
      <c r="A1791" t="str">
        <f>"00832049711"</f>
        <v>00832049711</v>
      </c>
      <c r="B1791" t="s">
        <v>2473</v>
      </c>
      <c r="C1791" t="s">
        <v>2474</v>
      </c>
      <c r="D1791">
        <v>100</v>
      </c>
      <c r="E1791" s="10" t="s">
        <v>11</v>
      </c>
      <c r="F1791" s="11">
        <v>10</v>
      </c>
      <c r="G1791">
        <v>100</v>
      </c>
      <c r="I1791" s="12"/>
      <c r="J1791" s="8"/>
      <c r="K1791" s="13"/>
    </row>
    <row r="1792" spans="1:11" x14ac:dyDescent="0.25">
      <c r="A1792" s="3" t="str">
        <f>"00832049611"</f>
        <v>00832049611</v>
      </c>
      <c r="B1792" s="3" t="s">
        <v>2473</v>
      </c>
      <c r="C1792" s="3" t="s">
        <v>2475</v>
      </c>
      <c r="D1792" s="3">
        <v>100</v>
      </c>
      <c r="E1792" s="4" t="s">
        <v>11</v>
      </c>
      <c r="F1792" s="5">
        <v>5</v>
      </c>
      <c r="G1792" s="3">
        <v>100</v>
      </c>
      <c r="I1792" s="7"/>
      <c r="J1792" s="8"/>
      <c r="K1792" s="9"/>
    </row>
    <row r="1793" spans="1:11" x14ac:dyDescent="0.25">
      <c r="A1793" t="str">
        <f>"61314004475"</f>
        <v>61314004475</v>
      </c>
      <c r="B1793" t="s">
        <v>2476</v>
      </c>
      <c r="C1793" t="s">
        <v>2477</v>
      </c>
      <c r="D1793">
        <v>7.5</v>
      </c>
      <c r="E1793" s="10" t="s">
        <v>43</v>
      </c>
      <c r="F1793" s="11">
        <v>1</v>
      </c>
      <c r="G1793">
        <v>7.5</v>
      </c>
      <c r="I1793" s="12"/>
      <c r="J1793" s="8"/>
      <c r="K1793" s="13"/>
    </row>
    <row r="1794" spans="1:11" x14ac:dyDescent="0.25">
      <c r="A1794" s="3" t="str">
        <f>"00591533501"</f>
        <v>00591533501</v>
      </c>
      <c r="B1794" s="3" t="s">
        <v>2478</v>
      </c>
      <c r="C1794" s="3" t="s">
        <v>2479</v>
      </c>
      <c r="D1794" s="3">
        <v>100</v>
      </c>
      <c r="E1794" s="4" t="s">
        <v>11</v>
      </c>
      <c r="F1794" s="5">
        <v>2</v>
      </c>
      <c r="G1794" s="3">
        <v>100</v>
      </c>
      <c r="I1794" s="7"/>
      <c r="J1794" s="8"/>
      <c r="K1794" s="9"/>
    </row>
    <row r="1795" spans="1:11" x14ac:dyDescent="0.25">
      <c r="A1795" t="str">
        <f>"00591533701"</f>
        <v>00591533701</v>
      </c>
      <c r="B1795" t="s">
        <v>2478</v>
      </c>
      <c r="C1795" t="s">
        <v>2480</v>
      </c>
      <c r="D1795">
        <v>100</v>
      </c>
      <c r="E1795" s="10" t="s">
        <v>11</v>
      </c>
      <c r="F1795" s="11">
        <v>5</v>
      </c>
      <c r="G1795">
        <v>100</v>
      </c>
      <c r="I1795" s="12"/>
      <c r="J1795" s="8"/>
      <c r="K1795" s="13"/>
    </row>
    <row r="1796" spans="1:11" x14ac:dyDescent="0.25">
      <c r="A1796" s="3" t="str">
        <f>"17478070311"</f>
        <v>17478070311</v>
      </c>
      <c r="B1796" s="3" t="s">
        <v>2481</v>
      </c>
      <c r="C1796" s="3" t="s">
        <v>2482</v>
      </c>
      <c r="D1796" s="3">
        <v>10</v>
      </c>
      <c r="E1796" s="4" t="s">
        <v>2483</v>
      </c>
      <c r="F1796" s="5" t="s">
        <v>2484</v>
      </c>
      <c r="G1796" s="3">
        <v>10</v>
      </c>
      <c r="I1796" s="7"/>
      <c r="J1796" s="8"/>
      <c r="K1796" s="9"/>
    </row>
    <row r="1797" spans="1:11" x14ac:dyDescent="0.25">
      <c r="A1797" t="str">
        <f>"64764075030"</f>
        <v>64764075030</v>
      </c>
      <c r="B1797" t="s">
        <v>2485</v>
      </c>
      <c r="C1797" t="s">
        <v>2486</v>
      </c>
      <c r="D1797">
        <v>30</v>
      </c>
      <c r="E1797" s="10" t="s">
        <v>11</v>
      </c>
      <c r="F1797" s="11">
        <v>20</v>
      </c>
      <c r="G1797">
        <v>30</v>
      </c>
      <c r="I1797" s="12"/>
      <c r="J1797" s="8"/>
      <c r="K1797" s="13"/>
    </row>
    <row r="1798" spans="1:11" x14ac:dyDescent="0.25">
      <c r="A1798" s="3" t="str">
        <f>"49702023113"</f>
        <v>49702023113</v>
      </c>
      <c r="B1798" s="3" t="s">
        <v>2487</v>
      </c>
      <c r="C1798" s="3" t="s">
        <v>2488</v>
      </c>
      <c r="D1798" s="3">
        <v>30</v>
      </c>
      <c r="E1798" s="4"/>
      <c r="F1798" s="5"/>
      <c r="G1798" s="3">
        <v>30</v>
      </c>
      <c r="I1798" s="7"/>
      <c r="J1798" s="8"/>
      <c r="K1798" s="9"/>
    </row>
    <row r="1799" spans="1:11" x14ac:dyDescent="0.25">
      <c r="A1799" t="str">
        <f>"17478010212"</f>
        <v>17478010212</v>
      </c>
      <c r="B1799" t="s">
        <v>2489</v>
      </c>
      <c r="C1799" t="s">
        <v>2490</v>
      </c>
      <c r="D1799">
        <v>15</v>
      </c>
      <c r="E1799" s="10" t="s">
        <v>43</v>
      </c>
      <c r="F1799" s="11">
        <v>1</v>
      </c>
      <c r="G1799">
        <v>15</v>
      </c>
      <c r="I1799" s="12"/>
      <c r="J1799" s="8"/>
      <c r="K1799" s="13"/>
    </row>
    <row r="1800" spans="1:11" x14ac:dyDescent="0.25">
      <c r="A1800" s="3" t="str">
        <f>"61314035401"</f>
        <v>61314035401</v>
      </c>
      <c r="B1800" s="3" t="s">
        <v>2489</v>
      </c>
      <c r="C1800" s="3" t="s">
        <v>2491</v>
      </c>
      <c r="D1800" s="3">
        <v>15</v>
      </c>
      <c r="E1800" s="4" t="s">
        <v>43</v>
      </c>
      <c r="F1800" s="5">
        <v>0.5</v>
      </c>
      <c r="G1800" s="3">
        <v>15</v>
      </c>
      <c r="I1800" s="7"/>
      <c r="J1800" s="8"/>
      <c r="K1800" s="9"/>
    </row>
    <row r="1801" spans="1:11" x14ac:dyDescent="0.25">
      <c r="A1801" t="str">
        <f>"24208059064"</f>
        <v>24208059064</v>
      </c>
      <c r="B1801" t="s">
        <v>2489</v>
      </c>
      <c r="C1801" t="s">
        <v>2492</v>
      </c>
      <c r="D1801">
        <v>15</v>
      </c>
      <c r="E1801" s="10" t="s">
        <v>2493</v>
      </c>
      <c r="F1801" s="11">
        <v>0.5</v>
      </c>
      <c r="G1801">
        <v>15</v>
      </c>
      <c r="I1801" s="12"/>
      <c r="J1801" s="8"/>
      <c r="K1801" s="13"/>
    </row>
    <row r="1802" spans="1:11" x14ac:dyDescent="0.25">
      <c r="A1802" s="3" t="str">
        <f>"24208058564"</f>
        <v>24208058564</v>
      </c>
      <c r="B1802" s="3" t="s">
        <v>2489</v>
      </c>
      <c r="C1802" s="3" t="s">
        <v>2494</v>
      </c>
      <c r="D1802" s="3">
        <v>15</v>
      </c>
      <c r="E1802" s="4" t="s">
        <v>2493</v>
      </c>
      <c r="F1802" s="5">
        <v>1</v>
      </c>
      <c r="G1802" s="3">
        <v>15</v>
      </c>
      <c r="I1802" s="7"/>
      <c r="J1802" s="8"/>
      <c r="K1802" s="9"/>
    </row>
    <row r="1803" spans="1:11" x14ac:dyDescent="0.25">
      <c r="A1803" t="str">
        <f>"61958070101"</f>
        <v>61958070101</v>
      </c>
      <c r="B1803" t="s">
        <v>2495</v>
      </c>
      <c r="C1803" t="s">
        <v>2496</v>
      </c>
      <c r="D1803">
        <v>30</v>
      </c>
      <c r="E1803" s="10" t="s">
        <v>1169</v>
      </c>
      <c r="F1803" s="11" t="s">
        <v>658</v>
      </c>
      <c r="G1803">
        <v>30</v>
      </c>
      <c r="I1803" s="12"/>
      <c r="J1803" s="8"/>
      <c r="K1803" s="13"/>
    </row>
    <row r="1804" spans="1:11" x14ac:dyDescent="0.25">
      <c r="A1804" s="3" t="str">
        <f>"49281075221"</f>
        <v>49281075221</v>
      </c>
      <c r="B1804" s="3" t="s">
        <v>2497</v>
      </c>
      <c r="C1804" s="3" t="s">
        <v>2498</v>
      </c>
      <c r="D1804" s="3">
        <v>1</v>
      </c>
      <c r="E1804" s="4" t="s">
        <v>2499</v>
      </c>
      <c r="F1804" s="5" t="s">
        <v>2500</v>
      </c>
      <c r="G1804" s="3">
        <v>1</v>
      </c>
      <c r="I1804" s="7"/>
      <c r="J1804" s="8"/>
      <c r="K1804" s="9"/>
    </row>
    <row r="1805" spans="1:11" x14ac:dyDescent="0.25">
      <c r="A1805" t="str">
        <f>"49281075222"</f>
        <v>49281075222</v>
      </c>
      <c r="B1805" t="s">
        <v>2497</v>
      </c>
      <c r="C1805" t="s">
        <v>2501</v>
      </c>
      <c r="D1805">
        <v>5</v>
      </c>
      <c r="E1805" s="10" t="s">
        <v>2502</v>
      </c>
      <c r="F1805" s="11" t="s">
        <v>2500</v>
      </c>
      <c r="G1805">
        <v>5</v>
      </c>
      <c r="I1805" s="12"/>
      <c r="J1805" s="8"/>
      <c r="K1805" s="13"/>
    </row>
    <row r="1806" spans="1:11" x14ac:dyDescent="0.25">
      <c r="A1806" s="3" t="str">
        <f>"00071170324"</f>
        <v>00071170324</v>
      </c>
      <c r="B1806" s="3" t="s">
        <v>1123</v>
      </c>
      <c r="C1806" s="3" t="s">
        <v>2503</v>
      </c>
      <c r="D1806" s="3">
        <v>100</v>
      </c>
      <c r="E1806" s="4"/>
      <c r="F1806" s="5"/>
      <c r="G1806" s="3">
        <v>100</v>
      </c>
      <c r="I1806" s="7"/>
      <c r="J1806" s="8"/>
      <c r="K1806" s="9"/>
    </row>
    <row r="1807" spans="1:11" x14ac:dyDescent="0.25">
      <c r="A1807" t="str">
        <f>"64764091830"</f>
        <v>64764091830</v>
      </c>
      <c r="B1807" t="s">
        <v>2504</v>
      </c>
      <c r="C1807" t="s">
        <v>2505</v>
      </c>
      <c r="D1807">
        <v>30</v>
      </c>
      <c r="E1807" s="10" t="s">
        <v>11</v>
      </c>
      <c r="F1807" s="11">
        <v>40</v>
      </c>
      <c r="G1807">
        <v>30</v>
      </c>
      <c r="I1807" s="12"/>
      <c r="J1807" s="8"/>
      <c r="K1807" s="13"/>
    </row>
    <row r="1808" spans="1:11" x14ac:dyDescent="0.25">
      <c r="A1808" s="3" t="str">
        <f>"64764067730"</f>
        <v>64764067730</v>
      </c>
      <c r="B1808" s="3" t="s">
        <v>2504</v>
      </c>
      <c r="C1808" s="3" t="s">
        <v>2506</v>
      </c>
      <c r="D1808" s="3">
        <v>30</v>
      </c>
      <c r="E1808" s="4" t="s">
        <v>11</v>
      </c>
      <c r="F1808" s="5">
        <v>80</v>
      </c>
      <c r="G1808" s="3">
        <v>30</v>
      </c>
      <c r="I1808" s="7"/>
      <c r="J1808" s="8"/>
      <c r="K1808" s="9"/>
    </row>
    <row r="1809" spans="1:11" x14ac:dyDescent="0.25">
      <c r="A1809" t="str">
        <f>"00049001483"</f>
        <v>00049001483</v>
      </c>
      <c r="B1809" t="s">
        <v>149</v>
      </c>
      <c r="C1809" t="s">
        <v>2507</v>
      </c>
      <c r="D1809">
        <v>10</v>
      </c>
      <c r="E1809" s="10" t="s">
        <v>48</v>
      </c>
      <c r="F1809" s="11">
        <v>3</v>
      </c>
      <c r="G1809">
        <v>1</v>
      </c>
      <c r="I1809" s="12"/>
      <c r="J1809" s="8"/>
      <c r="K1809" s="13"/>
    </row>
    <row r="1810" spans="1:11" x14ac:dyDescent="0.25">
      <c r="A1810" s="3" t="str">
        <f>"58980061030"</f>
        <v>58980061030</v>
      </c>
      <c r="B1810" s="3" t="s">
        <v>2508</v>
      </c>
      <c r="C1810" s="3" t="s">
        <v>2509</v>
      </c>
      <c r="D1810" s="3">
        <v>3</v>
      </c>
      <c r="E1810" s="4" t="s">
        <v>43</v>
      </c>
      <c r="F1810" s="5">
        <v>20</v>
      </c>
      <c r="G1810" s="3">
        <v>85</v>
      </c>
      <c r="I1810" s="7"/>
      <c r="J1810" s="8"/>
      <c r="K1810" s="9"/>
    </row>
    <row r="1811" spans="1:11" x14ac:dyDescent="0.25">
      <c r="A1811" t="str">
        <f>"54295030825"</f>
        <v>54295030825</v>
      </c>
      <c r="B1811" t="s">
        <v>2508</v>
      </c>
      <c r="C1811" t="s">
        <v>2510</v>
      </c>
      <c r="D1811">
        <v>7</v>
      </c>
      <c r="E1811" s="10" t="s">
        <v>43</v>
      </c>
      <c r="F1811" s="11">
        <v>40</v>
      </c>
      <c r="G1811">
        <v>198.4</v>
      </c>
      <c r="I1811" s="12"/>
      <c r="J1811" s="8"/>
      <c r="K1811" s="13"/>
    </row>
    <row r="1812" spans="1:11" x14ac:dyDescent="0.25">
      <c r="A1812" s="3" t="str">
        <f>"00591315901"</f>
        <v>00591315901</v>
      </c>
      <c r="B1812" s="3" t="s">
        <v>2511</v>
      </c>
      <c r="C1812" s="3" t="s">
        <v>2512</v>
      </c>
      <c r="D1812" s="3">
        <v>100</v>
      </c>
      <c r="E1812" s="4" t="s">
        <v>11</v>
      </c>
      <c r="F1812" s="5">
        <v>300</v>
      </c>
      <c r="G1812" s="3">
        <v>100</v>
      </c>
      <c r="I1812" s="7"/>
      <c r="J1812" s="8"/>
      <c r="K1812" s="9"/>
    </row>
    <row r="1813" spans="1:11" x14ac:dyDescent="0.25">
      <c r="A1813" t="str">
        <f>"00378427693"</f>
        <v>00378427693</v>
      </c>
      <c r="B1813" t="s">
        <v>2513</v>
      </c>
      <c r="C1813" t="s">
        <v>2514</v>
      </c>
      <c r="D1813">
        <v>30</v>
      </c>
      <c r="E1813" s="10" t="s">
        <v>48</v>
      </c>
      <c r="F1813" s="11">
        <v>1</v>
      </c>
      <c r="G1813">
        <v>30</v>
      </c>
      <c r="I1813" s="12"/>
      <c r="J1813" s="8"/>
      <c r="K1813" s="13"/>
    </row>
    <row r="1814" spans="1:11" x14ac:dyDescent="0.25">
      <c r="A1814" s="3" t="str">
        <f>"00378427593"</f>
        <v>00378427593</v>
      </c>
      <c r="B1814" s="3" t="s">
        <v>2513</v>
      </c>
      <c r="C1814" s="3" t="s">
        <v>2515</v>
      </c>
      <c r="D1814" s="3">
        <v>30</v>
      </c>
      <c r="E1814" s="4" t="s">
        <v>11</v>
      </c>
      <c r="F1814" s="5">
        <v>500</v>
      </c>
      <c r="G1814" s="3">
        <v>30</v>
      </c>
      <c r="I1814" s="7"/>
      <c r="J1814" s="8"/>
      <c r="K1814" s="9"/>
    </row>
    <row r="1815" spans="1:11" x14ac:dyDescent="0.25">
      <c r="A1815" t="str">
        <f>"55111076260"</f>
        <v>55111076260</v>
      </c>
      <c r="B1815" t="s">
        <v>2516</v>
      </c>
      <c r="C1815" t="s">
        <v>2517</v>
      </c>
      <c r="D1815">
        <v>60</v>
      </c>
      <c r="E1815" s="10" t="s">
        <v>11</v>
      </c>
      <c r="F1815" s="11">
        <v>450</v>
      </c>
      <c r="G1815">
        <v>60</v>
      </c>
      <c r="I1815" s="12"/>
      <c r="J1815" s="8"/>
      <c r="K1815" s="13"/>
    </row>
    <row r="1816" spans="1:11" x14ac:dyDescent="0.25">
      <c r="A1816" s="3" t="str">
        <f>"68084096525"</f>
        <v>68084096525</v>
      </c>
      <c r="B1816" s="3" t="s">
        <v>2516</v>
      </c>
      <c r="C1816" s="3" t="s">
        <v>2518</v>
      </c>
      <c r="D1816" s="3">
        <v>30</v>
      </c>
      <c r="E1816" s="4" t="s">
        <v>11</v>
      </c>
      <c r="F1816" s="5">
        <v>450</v>
      </c>
      <c r="G1816" s="3">
        <v>30</v>
      </c>
      <c r="I1816" s="7"/>
      <c r="J1816" s="8"/>
      <c r="K1816" s="9"/>
    </row>
    <row r="1817" spans="1:11" x14ac:dyDescent="0.25">
      <c r="A1817" t="str">
        <f>"63739025110"</f>
        <v>63739025110</v>
      </c>
      <c r="B1817" t="s">
        <v>2519</v>
      </c>
      <c r="C1817" t="s">
        <v>2520</v>
      </c>
      <c r="D1817">
        <v>100</v>
      </c>
      <c r="E1817" s="10" t="s">
        <v>11</v>
      </c>
      <c r="F1817" s="11">
        <v>250</v>
      </c>
      <c r="G1817">
        <v>100</v>
      </c>
      <c r="I1817" s="12"/>
      <c r="J1817" s="8"/>
      <c r="K1817" s="13"/>
    </row>
    <row r="1818" spans="1:11" x14ac:dyDescent="0.25">
      <c r="A1818" s="3" t="str">
        <f>"00121067516"</f>
        <v>00121067516</v>
      </c>
      <c r="B1818" s="3" t="s">
        <v>2521</v>
      </c>
      <c r="C1818" s="3" t="s">
        <v>2522</v>
      </c>
      <c r="D1818" s="3">
        <v>16</v>
      </c>
      <c r="E1818" s="4" t="s">
        <v>438</v>
      </c>
      <c r="F1818" s="5">
        <v>250</v>
      </c>
      <c r="G1818" s="3">
        <v>473</v>
      </c>
      <c r="I1818" s="7"/>
      <c r="J1818" s="8"/>
      <c r="K1818" s="9"/>
    </row>
    <row r="1819" spans="1:11" x14ac:dyDescent="0.25">
      <c r="A1819" t="str">
        <f>"00603184158"</f>
        <v>00603184158</v>
      </c>
      <c r="B1819" t="s">
        <v>2521</v>
      </c>
      <c r="C1819" t="s">
        <v>2523</v>
      </c>
      <c r="D1819">
        <v>16</v>
      </c>
      <c r="E1819" s="10" t="s">
        <v>438</v>
      </c>
      <c r="F1819" s="11">
        <v>250</v>
      </c>
      <c r="G1819">
        <v>473</v>
      </c>
      <c r="I1819" s="12"/>
      <c r="J1819" s="8"/>
      <c r="K1819" s="13"/>
    </row>
    <row r="1820" spans="1:11" x14ac:dyDescent="0.25">
      <c r="A1820" s="3" t="str">
        <f>"69387010701"</f>
        <v>69387010701</v>
      </c>
      <c r="B1820" s="3" t="s">
        <v>2519</v>
      </c>
      <c r="C1820" s="3" t="s">
        <v>2524</v>
      </c>
      <c r="D1820" s="3">
        <v>100</v>
      </c>
      <c r="E1820" s="4" t="s">
        <v>11</v>
      </c>
      <c r="F1820" s="5">
        <v>250</v>
      </c>
      <c r="G1820" s="3">
        <v>100</v>
      </c>
      <c r="I1820" s="7"/>
      <c r="J1820" s="8"/>
      <c r="K1820" s="9"/>
    </row>
    <row r="1821" spans="1:11" x14ac:dyDescent="0.25">
      <c r="A1821" t="str">
        <f>"69452015020"</f>
        <v>69452015020</v>
      </c>
      <c r="B1821" t="s">
        <v>2519</v>
      </c>
      <c r="C1821" t="s">
        <v>2524</v>
      </c>
      <c r="D1821">
        <v>100</v>
      </c>
      <c r="E1821" s="10" t="s">
        <v>11</v>
      </c>
      <c r="F1821" s="11">
        <v>250</v>
      </c>
      <c r="G1821">
        <v>100</v>
      </c>
      <c r="I1821" s="12"/>
      <c r="J1821" s="8"/>
      <c r="K1821" s="13"/>
    </row>
    <row r="1822" spans="1:11" x14ac:dyDescent="0.25">
      <c r="A1822" s="3" t="str">
        <f>"51660014030"</f>
        <v>51660014030</v>
      </c>
      <c r="B1822" s="3" t="s">
        <v>2525</v>
      </c>
      <c r="C1822" s="3" t="s">
        <v>2526</v>
      </c>
      <c r="D1822" s="3">
        <v>30</v>
      </c>
      <c r="E1822" s="4" t="s">
        <v>11</v>
      </c>
      <c r="F1822" s="5">
        <v>40</v>
      </c>
      <c r="G1822" s="3">
        <v>30</v>
      </c>
      <c r="I1822" s="7"/>
      <c r="J1822" s="8"/>
      <c r="K1822" s="9"/>
    </row>
    <row r="1823" spans="1:11" x14ac:dyDescent="0.25">
      <c r="A1823" t="str">
        <f>"00409653301"</f>
        <v>00409653301</v>
      </c>
      <c r="B1823" t="s">
        <v>2527</v>
      </c>
      <c r="C1823" t="s">
        <v>2528</v>
      </c>
      <c r="D1823">
        <v>10</v>
      </c>
      <c r="E1823" s="10" t="s">
        <v>48</v>
      </c>
      <c r="F1823" s="11">
        <v>1</v>
      </c>
      <c r="G1823">
        <v>1</v>
      </c>
      <c r="I1823" s="12"/>
      <c r="J1823" s="8"/>
      <c r="K1823" s="13"/>
    </row>
    <row r="1824" spans="1:11" x14ac:dyDescent="0.25">
      <c r="A1824" s="3" t="str">
        <f>"63323028420"</f>
        <v>63323028420</v>
      </c>
      <c r="B1824" s="3" t="s">
        <v>2527</v>
      </c>
      <c r="C1824" s="3" t="s">
        <v>2529</v>
      </c>
      <c r="D1824" s="3">
        <v>10</v>
      </c>
      <c r="E1824" s="4" t="s">
        <v>48</v>
      </c>
      <c r="F1824" s="5">
        <v>1</v>
      </c>
      <c r="G1824" s="3">
        <v>1</v>
      </c>
      <c r="I1824" s="7"/>
      <c r="J1824" s="8"/>
      <c r="K1824" s="9"/>
    </row>
    <row r="1825" spans="1:11" x14ac:dyDescent="0.25">
      <c r="A1825" t="str">
        <f>"67457034001"</f>
        <v>67457034001</v>
      </c>
      <c r="B1825" t="s">
        <v>2527</v>
      </c>
      <c r="C1825" t="s">
        <v>2530</v>
      </c>
      <c r="D1825">
        <v>10</v>
      </c>
      <c r="E1825" s="10" t="s">
        <v>48</v>
      </c>
      <c r="F1825" s="11">
        <v>1</v>
      </c>
      <c r="G1825">
        <v>1</v>
      </c>
      <c r="I1825" s="12"/>
      <c r="J1825" s="8"/>
      <c r="K1825" s="13"/>
    </row>
    <row r="1826" spans="1:11" x14ac:dyDescent="0.25">
      <c r="A1826" s="3" t="str">
        <f>"67457033950"</f>
        <v>67457033950</v>
      </c>
      <c r="B1826" s="3" t="s">
        <v>2527</v>
      </c>
      <c r="C1826" s="3" t="s">
        <v>2531</v>
      </c>
      <c r="D1826" s="3">
        <v>10</v>
      </c>
      <c r="E1826" s="4" t="s">
        <v>11</v>
      </c>
      <c r="F1826" s="5">
        <v>500</v>
      </c>
      <c r="G1826" s="3">
        <v>1</v>
      </c>
      <c r="I1826" s="7"/>
      <c r="J1826" s="8"/>
      <c r="K1826" s="9"/>
    </row>
    <row r="1827" spans="1:11" x14ac:dyDescent="0.25">
      <c r="A1827" t="str">
        <f>"37000054401"</f>
        <v>37000054401</v>
      </c>
      <c r="B1827" t="s">
        <v>1077</v>
      </c>
      <c r="C1827" t="s">
        <v>2532</v>
      </c>
      <c r="D1827">
        <v>50</v>
      </c>
      <c r="G1827">
        <v>50</v>
      </c>
      <c r="I1827" s="12"/>
      <c r="J1827" s="8"/>
      <c r="K1827" s="13"/>
    </row>
    <row r="1828" spans="1:11" x14ac:dyDescent="0.25">
      <c r="A1828" s="3" t="str">
        <f>"68001015600"</f>
        <v>68001015600</v>
      </c>
      <c r="B1828" s="3" t="s">
        <v>2533</v>
      </c>
      <c r="C1828" s="3" t="s">
        <v>2534</v>
      </c>
      <c r="D1828" s="3">
        <v>100</v>
      </c>
      <c r="E1828" s="4" t="s">
        <v>11</v>
      </c>
      <c r="F1828" s="5">
        <v>100</v>
      </c>
      <c r="G1828" s="3">
        <v>100</v>
      </c>
      <c r="I1828" s="7"/>
      <c r="J1828" s="8"/>
      <c r="K1828" s="9"/>
    </row>
    <row r="1829" spans="1:11" x14ac:dyDescent="0.25">
      <c r="A1829" t="str">
        <f>"68084071301"</f>
        <v>68084071301</v>
      </c>
      <c r="B1829" t="s">
        <v>2533</v>
      </c>
      <c r="C1829" t="s">
        <v>2535</v>
      </c>
      <c r="D1829">
        <v>100</v>
      </c>
      <c r="E1829" s="10" t="s">
        <v>33</v>
      </c>
      <c r="F1829" s="11">
        <v>150</v>
      </c>
      <c r="G1829">
        <v>100</v>
      </c>
      <c r="I1829" s="12"/>
      <c r="J1829" s="8"/>
      <c r="K1829" s="13"/>
    </row>
    <row r="1830" spans="1:11" x14ac:dyDescent="0.25">
      <c r="A1830" s="3" t="str">
        <f>"68382001801"</f>
        <v>68382001801</v>
      </c>
      <c r="B1830" s="3" t="s">
        <v>2533</v>
      </c>
      <c r="C1830" s="3" t="s">
        <v>2536</v>
      </c>
      <c r="D1830" s="3">
        <v>100</v>
      </c>
      <c r="E1830" s="4" t="s">
        <v>11</v>
      </c>
      <c r="F1830" s="5">
        <v>25</v>
      </c>
      <c r="G1830" s="3">
        <v>100</v>
      </c>
      <c r="I1830" s="7"/>
      <c r="J1830" s="8"/>
      <c r="K1830" s="9"/>
    </row>
    <row r="1831" spans="1:11" x14ac:dyDescent="0.25">
      <c r="A1831" t="str">
        <f>"68382001901"</f>
        <v>68382001901</v>
      </c>
      <c r="B1831" t="s">
        <v>2533</v>
      </c>
      <c r="C1831" t="s">
        <v>2537</v>
      </c>
      <c r="D1831">
        <v>100</v>
      </c>
      <c r="E1831" s="10" t="s">
        <v>11</v>
      </c>
      <c r="F1831" s="11">
        <v>37.5</v>
      </c>
      <c r="G1831">
        <v>100</v>
      </c>
      <c r="I1831" s="12"/>
      <c r="J1831" s="8"/>
      <c r="K1831" s="13"/>
    </row>
    <row r="1832" spans="1:11" x14ac:dyDescent="0.25">
      <c r="A1832" s="3" t="str">
        <f>"51079048020"</f>
        <v>51079048020</v>
      </c>
      <c r="B1832" s="3" t="s">
        <v>2533</v>
      </c>
      <c r="C1832" s="3" t="s">
        <v>2538</v>
      </c>
      <c r="D1832" s="3">
        <v>100</v>
      </c>
      <c r="E1832" s="4" t="s">
        <v>11</v>
      </c>
      <c r="F1832" s="5">
        <v>37.5</v>
      </c>
      <c r="G1832" s="3">
        <v>100</v>
      </c>
      <c r="I1832" s="7"/>
      <c r="J1832" s="8"/>
      <c r="K1832" s="9"/>
    </row>
    <row r="1833" spans="1:11" x14ac:dyDescent="0.25">
      <c r="A1833" t="str">
        <f>"68382002001"</f>
        <v>68382002001</v>
      </c>
      <c r="B1833" t="s">
        <v>2533</v>
      </c>
      <c r="C1833" t="s">
        <v>2539</v>
      </c>
      <c r="D1833">
        <v>100</v>
      </c>
      <c r="E1833" s="10" t="s">
        <v>11</v>
      </c>
      <c r="F1833" s="11">
        <v>50</v>
      </c>
      <c r="G1833">
        <v>100</v>
      </c>
      <c r="I1833" s="12"/>
      <c r="J1833" s="8"/>
      <c r="K1833" s="13"/>
    </row>
    <row r="1834" spans="1:11" x14ac:dyDescent="0.25">
      <c r="A1834" s="3" t="str">
        <f>"68001016000"</f>
        <v>68001016000</v>
      </c>
      <c r="B1834" s="3" t="s">
        <v>2533</v>
      </c>
      <c r="C1834" s="3" t="s">
        <v>2540</v>
      </c>
      <c r="D1834" s="3">
        <v>100</v>
      </c>
      <c r="E1834" s="4" t="s">
        <v>11</v>
      </c>
      <c r="F1834" s="5">
        <v>75</v>
      </c>
      <c r="G1834" s="3">
        <v>100</v>
      </c>
      <c r="I1834" s="7"/>
      <c r="J1834" s="8"/>
      <c r="K1834" s="9"/>
    </row>
    <row r="1835" spans="1:11" x14ac:dyDescent="0.25">
      <c r="A1835" t="str">
        <f>"68084085601"</f>
        <v>68084085601</v>
      </c>
      <c r="B1835" t="s">
        <v>2533</v>
      </c>
      <c r="C1835" t="s">
        <v>2541</v>
      </c>
      <c r="D1835">
        <v>100</v>
      </c>
      <c r="E1835" s="10" t="s">
        <v>11</v>
      </c>
      <c r="F1835" s="11">
        <v>75</v>
      </c>
      <c r="G1835">
        <v>100</v>
      </c>
      <c r="I1835" s="12"/>
      <c r="J1835" s="8"/>
      <c r="K1835" s="13"/>
    </row>
    <row r="1836" spans="1:11" x14ac:dyDescent="0.25">
      <c r="A1836" s="3" t="str">
        <f>"68382003610"</f>
        <v>68382003610</v>
      </c>
      <c r="B1836" s="3" t="s">
        <v>2533</v>
      </c>
      <c r="C1836" s="3" t="s">
        <v>2542</v>
      </c>
      <c r="D1836" s="3">
        <v>1000</v>
      </c>
      <c r="E1836" s="4" t="s">
        <v>33</v>
      </c>
      <c r="F1836" s="5">
        <v>150</v>
      </c>
      <c r="G1836" s="3">
        <v>1000</v>
      </c>
      <c r="I1836" s="7"/>
      <c r="J1836" s="8"/>
      <c r="K1836" s="9"/>
    </row>
    <row r="1837" spans="1:11" x14ac:dyDescent="0.25">
      <c r="A1837" t="str">
        <f>"68382003616"</f>
        <v>68382003616</v>
      </c>
      <c r="B1837" t="s">
        <v>2533</v>
      </c>
      <c r="C1837" t="s">
        <v>2543</v>
      </c>
      <c r="D1837">
        <v>90</v>
      </c>
      <c r="E1837" s="10" t="s">
        <v>33</v>
      </c>
      <c r="F1837" s="11">
        <v>150</v>
      </c>
      <c r="G1837">
        <v>90</v>
      </c>
      <c r="I1837" s="12"/>
      <c r="J1837" s="8"/>
      <c r="K1837" s="13"/>
    </row>
    <row r="1838" spans="1:11" x14ac:dyDescent="0.25">
      <c r="A1838" s="3" t="str">
        <f>"68382003410"</f>
        <v>68382003410</v>
      </c>
      <c r="B1838" s="3" t="s">
        <v>2533</v>
      </c>
      <c r="C1838" s="3" t="s">
        <v>2544</v>
      </c>
      <c r="D1838" s="3">
        <v>1000</v>
      </c>
      <c r="E1838" s="4" t="s">
        <v>33</v>
      </c>
      <c r="F1838" s="5">
        <v>37.5</v>
      </c>
      <c r="G1838" s="3">
        <v>1000</v>
      </c>
      <c r="I1838" s="7"/>
      <c r="J1838" s="8"/>
      <c r="K1838" s="9"/>
    </row>
    <row r="1839" spans="1:11" x14ac:dyDescent="0.25">
      <c r="A1839" t="str">
        <f>"68382003510"</f>
        <v>68382003510</v>
      </c>
      <c r="B1839" t="s">
        <v>2533</v>
      </c>
      <c r="C1839" t="s">
        <v>2545</v>
      </c>
      <c r="D1839">
        <v>1000</v>
      </c>
      <c r="E1839" s="10" t="s">
        <v>33</v>
      </c>
      <c r="F1839" s="11">
        <v>75</v>
      </c>
      <c r="G1839">
        <v>1000</v>
      </c>
      <c r="I1839" s="12"/>
      <c r="J1839" s="8"/>
      <c r="K1839" s="13"/>
    </row>
    <row r="1840" spans="1:11" x14ac:dyDescent="0.25">
      <c r="A1840" s="3" t="str">
        <f>"00517234010"</f>
        <v>00517234010</v>
      </c>
      <c r="B1840" s="3" t="s">
        <v>2546</v>
      </c>
      <c r="C1840" s="3" t="s">
        <v>2547</v>
      </c>
      <c r="D1840" s="3">
        <v>50</v>
      </c>
      <c r="E1840" s="4" t="s">
        <v>20</v>
      </c>
      <c r="F1840" s="5">
        <v>20</v>
      </c>
      <c r="G1840" s="3">
        <v>5</v>
      </c>
      <c r="I1840" s="7"/>
      <c r="J1840" s="8"/>
      <c r="K1840" s="9"/>
    </row>
    <row r="1841" spans="1:11" x14ac:dyDescent="0.25">
      <c r="A1841" t="str">
        <f>"00173068220"</f>
        <v>00173068220</v>
      </c>
      <c r="B1841" t="s">
        <v>71</v>
      </c>
      <c r="C1841" t="s">
        <v>2548</v>
      </c>
      <c r="D1841">
        <v>18</v>
      </c>
      <c r="E1841" s="10" t="s">
        <v>178</v>
      </c>
      <c r="F1841" s="11">
        <v>90</v>
      </c>
      <c r="G1841">
        <v>18</v>
      </c>
      <c r="I1841" s="12"/>
      <c r="J1841" s="8"/>
      <c r="K1841" s="13"/>
    </row>
    <row r="1842" spans="1:11" x14ac:dyDescent="0.25">
      <c r="A1842" s="3" t="str">
        <f>"00173068221"</f>
        <v>00173068221</v>
      </c>
      <c r="B1842" s="3" t="s">
        <v>71</v>
      </c>
      <c r="C1842" s="3" t="s">
        <v>2549</v>
      </c>
      <c r="D1842" s="3">
        <v>8</v>
      </c>
      <c r="E1842" s="4" t="s">
        <v>178</v>
      </c>
      <c r="F1842" s="5">
        <v>90</v>
      </c>
      <c r="G1842" s="3">
        <v>8</v>
      </c>
      <c r="I1842" s="7"/>
      <c r="J1842" s="8"/>
      <c r="K1842" s="9"/>
    </row>
    <row r="1843" spans="1:11" x14ac:dyDescent="0.25">
      <c r="A1843" t="str">
        <f>"00173068224"</f>
        <v>00173068224</v>
      </c>
      <c r="B1843" t="s">
        <v>71</v>
      </c>
      <c r="C1843" t="s">
        <v>2550</v>
      </c>
      <c r="D1843">
        <v>8</v>
      </c>
      <c r="F1843" s="11" t="s">
        <v>2551</v>
      </c>
      <c r="G1843">
        <v>8</v>
      </c>
      <c r="I1843" s="12"/>
      <c r="J1843" s="8"/>
      <c r="K1843" s="13"/>
    </row>
    <row r="1844" spans="1:11" x14ac:dyDescent="0.25">
      <c r="A1844" s="3" t="str">
        <f>"00591040401"</f>
        <v>00591040401</v>
      </c>
      <c r="B1844" s="3" t="s">
        <v>2552</v>
      </c>
      <c r="C1844" s="3" t="s">
        <v>2553</v>
      </c>
      <c r="D1844" s="3">
        <v>100</v>
      </c>
      <c r="E1844" s="4" t="s">
        <v>11</v>
      </c>
      <c r="F1844" s="5">
        <v>40</v>
      </c>
      <c r="G1844" s="3">
        <v>100</v>
      </c>
      <c r="I1844" s="7"/>
      <c r="J1844" s="8"/>
      <c r="K1844" s="9"/>
    </row>
    <row r="1845" spans="1:11" x14ac:dyDescent="0.25">
      <c r="A1845" t="str">
        <f>"00093304405"</f>
        <v>00093304405</v>
      </c>
      <c r="B1845" t="s">
        <v>2552</v>
      </c>
      <c r="C1845" t="s">
        <v>2554</v>
      </c>
      <c r="D1845">
        <v>500</v>
      </c>
      <c r="E1845" s="10" t="s">
        <v>33</v>
      </c>
      <c r="F1845" s="11">
        <v>180</v>
      </c>
      <c r="G1845">
        <v>500</v>
      </c>
      <c r="I1845" s="12"/>
      <c r="J1845" s="8"/>
      <c r="K1845" s="13"/>
    </row>
    <row r="1846" spans="1:11" x14ac:dyDescent="0.25">
      <c r="A1846" s="3" t="str">
        <f>"00093304501"</f>
        <v>00093304501</v>
      </c>
      <c r="B1846" s="3" t="s">
        <v>2552</v>
      </c>
      <c r="C1846" s="3" t="s">
        <v>2555</v>
      </c>
      <c r="D1846" s="3">
        <v>100</v>
      </c>
      <c r="E1846" s="4" t="s">
        <v>33</v>
      </c>
      <c r="F1846" s="5">
        <v>240</v>
      </c>
      <c r="G1846" s="3">
        <v>100</v>
      </c>
      <c r="I1846" s="7"/>
      <c r="J1846" s="8"/>
      <c r="K1846" s="9"/>
    </row>
    <row r="1847" spans="1:11" x14ac:dyDescent="0.25">
      <c r="A1847" t="str">
        <f>"00093304505"</f>
        <v>00093304505</v>
      </c>
      <c r="B1847" t="s">
        <v>2552</v>
      </c>
      <c r="C1847" t="s">
        <v>2556</v>
      </c>
      <c r="D1847">
        <v>500</v>
      </c>
      <c r="E1847" s="10" t="s">
        <v>33</v>
      </c>
      <c r="F1847" s="11">
        <v>240</v>
      </c>
      <c r="G1847">
        <v>500</v>
      </c>
      <c r="I1847" s="12"/>
      <c r="J1847" s="8"/>
      <c r="K1847" s="13"/>
    </row>
    <row r="1848" spans="1:11" x14ac:dyDescent="0.25">
      <c r="A1848" s="3" t="str">
        <f>"00093304301"</f>
        <v>00093304301</v>
      </c>
      <c r="B1848" s="3" t="s">
        <v>2552</v>
      </c>
      <c r="C1848" s="3" t="s">
        <v>2557</v>
      </c>
      <c r="D1848" s="3">
        <v>100</v>
      </c>
      <c r="E1848" s="4" t="s">
        <v>33</v>
      </c>
      <c r="F1848" s="5">
        <v>120</v>
      </c>
      <c r="G1848" s="3">
        <v>100</v>
      </c>
      <c r="I1848" s="7"/>
      <c r="J1848" s="8"/>
      <c r="K1848" s="9"/>
    </row>
    <row r="1849" spans="1:11" x14ac:dyDescent="0.25">
      <c r="A1849" t="str">
        <f>"00065401303"</f>
        <v>00065401303</v>
      </c>
      <c r="B1849" t="s">
        <v>2558</v>
      </c>
      <c r="C1849" t="s">
        <v>2559</v>
      </c>
      <c r="D1849">
        <v>3</v>
      </c>
      <c r="E1849" s="10" t="s">
        <v>43</v>
      </c>
      <c r="F1849" s="11">
        <v>0.5</v>
      </c>
      <c r="G1849">
        <v>3</v>
      </c>
      <c r="I1849" s="12"/>
      <c r="J1849" s="8"/>
      <c r="K1849" s="13"/>
    </row>
    <row r="1850" spans="1:11" x14ac:dyDescent="0.25">
      <c r="A1850" s="3" t="str">
        <f>"00131247860"</f>
        <v>00131247860</v>
      </c>
      <c r="B1850" s="3" t="s">
        <v>2560</v>
      </c>
      <c r="C1850" s="3" t="s">
        <v>2561</v>
      </c>
      <c r="D1850" s="3">
        <v>60</v>
      </c>
      <c r="E1850" s="4" t="s">
        <v>11</v>
      </c>
      <c r="F1850" s="5">
        <v>100</v>
      </c>
      <c r="G1850" s="3">
        <v>60</v>
      </c>
      <c r="I1850" s="7"/>
      <c r="J1850" s="8"/>
      <c r="K1850" s="9"/>
    </row>
    <row r="1851" spans="1:11" x14ac:dyDescent="0.25">
      <c r="A1851" t="str">
        <f>"00131248060"</f>
        <v>00131248060</v>
      </c>
      <c r="B1851" t="s">
        <v>2560</v>
      </c>
      <c r="C1851" t="s">
        <v>2562</v>
      </c>
      <c r="D1851">
        <v>60</v>
      </c>
      <c r="E1851" s="10" t="s">
        <v>11</v>
      </c>
      <c r="F1851" s="11">
        <v>200</v>
      </c>
      <c r="G1851">
        <v>60</v>
      </c>
      <c r="I1851" s="12"/>
      <c r="J1851" s="8"/>
      <c r="K1851" s="13"/>
    </row>
    <row r="1852" spans="1:11" x14ac:dyDescent="0.25">
      <c r="A1852" s="3" t="str">
        <f>"00131247760"</f>
        <v>00131247760</v>
      </c>
      <c r="B1852" s="3" t="s">
        <v>2560</v>
      </c>
      <c r="C1852" s="3" t="s">
        <v>2563</v>
      </c>
      <c r="D1852" s="3">
        <v>60</v>
      </c>
      <c r="E1852" s="4" t="s">
        <v>11</v>
      </c>
      <c r="F1852" s="5">
        <v>50</v>
      </c>
      <c r="G1852" s="3">
        <v>60</v>
      </c>
      <c r="I1852" s="7"/>
      <c r="J1852" s="8"/>
      <c r="K1852" s="9"/>
    </row>
    <row r="1853" spans="1:11" x14ac:dyDescent="0.25">
      <c r="A1853" t="str">
        <f>"00597004724"</f>
        <v>00597004724</v>
      </c>
      <c r="B1853" t="s">
        <v>1733</v>
      </c>
      <c r="C1853" t="s">
        <v>2564</v>
      </c>
      <c r="D1853">
        <v>240</v>
      </c>
      <c r="E1853" s="10" t="s">
        <v>438</v>
      </c>
      <c r="F1853" s="11">
        <v>50</v>
      </c>
      <c r="G1853">
        <v>240</v>
      </c>
      <c r="I1853" s="12"/>
      <c r="J1853" s="8"/>
      <c r="K1853" s="13"/>
    </row>
    <row r="1854" spans="1:11" x14ac:dyDescent="0.25">
      <c r="A1854" s="3" t="str">
        <f>"61958040101"</f>
        <v>61958040101</v>
      </c>
      <c r="B1854" s="3" t="s">
        <v>2565</v>
      </c>
      <c r="C1854" s="3" t="s">
        <v>2566</v>
      </c>
      <c r="D1854" s="3">
        <v>30</v>
      </c>
      <c r="E1854" s="4" t="s">
        <v>11</v>
      </c>
      <c r="F1854" s="5">
        <v>300</v>
      </c>
      <c r="G1854" s="3">
        <v>30</v>
      </c>
      <c r="I1854" s="7"/>
      <c r="J1854" s="8"/>
      <c r="K1854" s="9"/>
    </row>
    <row r="1855" spans="1:11" x14ac:dyDescent="0.25">
      <c r="A1855" t="str">
        <f>"42002020005"</f>
        <v>42002020005</v>
      </c>
      <c r="B1855" t="s">
        <v>2567</v>
      </c>
      <c r="C1855" t="s">
        <v>2568</v>
      </c>
      <c r="D1855">
        <v>0.5</v>
      </c>
      <c r="G1855">
        <v>15</v>
      </c>
      <c r="I1855" s="12"/>
      <c r="J1855" s="8"/>
      <c r="K1855" s="13"/>
    </row>
    <row r="1856" spans="1:11" x14ac:dyDescent="0.25">
      <c r="A1856" s="3" t="str">
        <f>"54162000002"</f>
        <v>54162000002</v>
      </c>
      <c r="B1856" s="3" t="s">
        <v>2569</v>
      </c>
      <c r="C1856" s="3" t="s">
        <v>2570</v>
      </c>
      <c r="D1856" s="3">
        <v>60</v>
      </c>
      <c r="E1856" s="4"/>
      <c r="F1856" s="5"/>
      <c r="G1856" s="3">
        <v>60</v>
      </c>
      <c r="I1856" s="7"/>
      <c r="J1856" s="8"/>
      <c r="K1856" s="9"/>
    </row>
    <row r="1857" spans="1:11" x14ac:dyDescent="0.25">
      <c r="A1857" t="str">
        <f>"45802039504"</f>
        <v>45802039504</v>
      </c>
      <c r="B1857" t="s">
        <v>2569</v>
      </c>
      <c r="C1857" t="s">
        <v>2571</v>
      </c>
      <c r="D1857">
        <v>4</v>
      </c>
      <c r="G1857">
        <v>113</v>
      </c>
      <c r="I1857" s="12"/>
      <c r="J1857" s="8"/>
      <c r="K1857" s="13"/>
    </row>
    <row r="1858" spans="1:11" x14ac:dyDescent="0.25">
      <c r="A1858" s="3" t="str">
        <f>"51645090599"</f>
        <v>51645090599</v>
      </c>
      <c r="B1858" s="3" t="s">
        <v>2572</v>
      </c>
      <c r="C1858" s="3" t="s">
        <v>2573</v>
      </c>
      <c r="D1858" s="3">
        <v>100</v>
      </c>
      <c r="E1858" s="4"/>
      <c r="F1858" s="5"/>
      <c r="G1858" s="3">
        <v>100</v>
      </c>
      <c r="I1858" s="7"/>
      <c r="J1858" s="8"/>
      <c r="K1858" s="9"/>
    </row>
    <row r="1859" spans="1:11" x14ac:dyDescent="0.25">
      <c r="A1859" t="str">
        <f>"00536468010"</f>
        <v>00536468010</v>
      </c>
      <c r="B1859" t="s">
        <v>2392</v>
      </c>
      <c r="C1859" t="s">
        <v>2574</v>
      </c>
      <c r="D1859">
        <v>1000</v>
      </c>
      <c r="E1859" s="10" t="s">
        <v>11</v>
      </c>
      <c r="F1859" s="11">
        <v>100</v>
      </c>
      <c r="G1859">
        <v>1000</v>
      </c>
      <c r="I1859" s="12"/>
      <c r="J1859" s="8"/>
      <c r="K1859" s="13"/>
    </row>
    <row r="1860" spans="1:11" x14ac:dyDescent="0.25">
      <c r="A1860" s="3" t="str">
        <f>"00536468001"</f>
        <v>00536468001</v>
      </c>
      <c r="B1860" s="3" t="s">
        <v>2392</v>
      </c>
      <c r="C1860" s="3" t="s">
        <v>2575</v>
      </c>
      <c r="D1860" s="3">
        <v>100</v>
      </c>
      <c r="E1860" s="4" t="s">
        <v>11</v>
      </c>
      <c r="F1860" s="5">
        <v>100</v>
      </c>
      <c r="G1860" s="3">
        <v>100</v>
      </c>
      <c r="I1860" s="7"/>
      <c r="J1860" s="8"/>
      <c r="K1860" s="9"/>
    </row>
    <row r="1861" spans="1:11" x14ac:dyDescent="0.25">
      <c r="A1861" t="str">
        <f>"00536467801"</f>
        <v>00536467801</v>
      </c>
      <c r="B1861" t="s">
        <v>2392</v>
      </c>
      <c r="C1861" t="s">
        <v>2576</v>
      </c>
      <c r="D1861">
        <v>100</v>
      </c>
      <c r="E1861" s="10" t="s">
        <v>11</v>
      </c>
      <c r="F1861" s="11">
        <v>50</v>
      </c>
      <c r="G1861">
        <v>100</v>
      </c>
      <c r="I1861" s="12"/>
      <c r="J1861" s="8"/>
      <c r="K1861" s="13"/>
    </row>
    <row r="1862" spans="1:11" x14ac:dyDescent="0.25">
      <c r="A1862" s="3" t="str">
        <f>"00536355601"</f>
        <v>00536355601</v>
      </c>
      <c r="B1862" s="3" t="s">
        <v>625</v>
      </c>
      <c r="C1862" s="3" t="s">
        <v>2577</v>
      </c>
      <c r="D1862" s="3">
        <v>100</v>
      </c>
      <c r="E1862" s="4"/>
      <c r="F1862" s="5"/>
      <c r="G1862" s="3">
        <v>100</v>
      </c>
      <c r="I1862" s="7"/>
      <c r="J1862" s="8"/>
      <c r="K1862" s="9"/>
    </row>
    <row r="1863" spans="1:11" x14ac:dyDescent="0.25">
      <c r="A1863" t="str">
        <f>"00904421713"</f>
        <v>00904421713</v>
      </c>
      <c r="B1863" t="s">
        <v>625</v>
      </c>
      <c r="C1863" t="s">
        <v>2578</v>
      </c>
      <c r="D1863">
        <v>130</v>
      </c>
      <c r="G1863">
        <v>130</v>
      </c>
      <c r="I1863" s="12"/>
      <c r="J1863" s="8"/>
      <c r="K1863" s="13"/>
    </row>
    <row r="1864" spans="1:11" x14ac:dyDescent="0.25">
      <c r="A1864" s="3" t="str">
        <f>"00536354201"</f>
        <v>00536354201</v>
      </c>
      <c r="B1864" s="3" t="s">
        <v>625</v>
      </c>
      <c r="C1864" s="3" t="s">
        <v>2579</v>
      </c>
      <c r="D1864" s="3">
        <v>100</v>
      </c>
      <c r="E1864" s="4" t="s">
        <v>178</v>
      </c>
      <c r="F1864" s="5">
        <v>100</v>
      </c>
      <c r="G1864" s="3">
        <v>100</v>
      </c>
      <c r="I1864" s="7"/>
      <c r="J1864" s="8"/>
      <c r="K1864" s="9"/>
    </row>
    <row r="1865" spans="1:11" x14ac:dyDescent="0.25">
      <c r="A1865" t="str">
        <f>"00904421813"</f>
        <v>00904421813</v>
      </c>
      <c r="B1865" t="s">
        <v>625</v>
      </c>
      <c r="C1865" t="s">
        <v>2580</v>
      </c>
      <c r="D1865">
        <v>130</v>
      </c>
      <c r="G1865">
        <v>130</v>
      </c>
      <c r="I1865" s="12"/>
      <c r="J1865" s="8"/>
      <c r="K1865" s="13"/>
    </row>
    <row r="1866" spans="1:11" x14ac:dyDescent="0.25">
      <c r="A1866" s="3" t="str">
        <f>"43292056000"</f>
        <v>43292056000</v>
      </c>
      <c r="B1866" s="3" t="s">
        <v>2581</v>
      </c>
      <c r="C1866" s="3" t="s">
        <v>2582</v>
      </c>
      <c r="D1866" s="3">
        <v>100</v>
      </c>
      <c r="E1866" s="4"/>
      <c r="F1866" s="5"/>
      <c r="G1866" s="3">
        <v>100</v>
      </c>
      <c r="I1866" s="7"/>
      <c r="J1866" s="8"/>
      <c r="K1866" s="9"/>
    </row>
    <row r="1867" spans="1:11" x14ac:dyDescent="0.25">
      <c r="A1867" t="str">
        <f>"00904051860"</f>
        <v>00904051860</v>
      </c>
      <c r="B1867" t="s">
        <v>2110</v>
      </c>
      <c r="C1867" t="s">
        <v>2583</v>
      </c>
      <c r="D1867">
        <v>100</v>
      </c>
      <c r="G1867">
        <v>100</v>
      </c>
      <c r="I1867" s="12"/>
      <c r="J1867" s="8"/>
      <c r="K1867" s="13"/>
    </row>
    <row r="1868" spans="1:11" x14ac:dyDescent="0.25">
      <c r="A1868" s="3" t="str">
        <f>"00536440810"</f>
        <v>00536440810</v>
      </c>
      <c r="B1868" s="3" t="s">
        <v>2110</v>
      </c>
      <c r="C1868" s="3" t="s">
        <v>2584</v>
      </c>
      <c r="D1868" s="3">
        <v>1000</v>
      </c>
      <c r="E1868" s="4" t="s">
        <v>11</v>
      </c>
      <c r="F1868" s="5">
        <v>50</v>
      </c>
      <c r="G1868" s="3">
        <v>1000</v>
      </c>
      <c r="I1868" s="7"/>
      <c r="J1868" s="8"/>
      <c r="K1868" s="9"/>
    </row>
    <row r="1869" spans="1:11" x14ac:dyDescent="0.25">
      <c r="A1869" t="str">
        <f>"00904052260"</f>
        <v>00904052260</v>
      </c>
      <c r="B1869" t="s">
        <v>2585</v>
      </c>
      <c r="C1869" t="s">
        <v>2586</v>
      </c>
      <c r="D1869">
        <v>100</v>
      </c>
      <c r="G1869">
        <v>100</v>
      </c>
      <c r="I1869" s="12"/>
      <c r="J1869" s="8"/>
      <c r="K1869" s="13"/>
    </row>
    <row r="1870" spans="1:11" x14ac:dyDescent="0.25">
      <c r="A1870" s="3" t="str">
        <f>"00904052380"</f>
        <v>00904052380</v>
      </c>
      <c r="B1870" s="3" t="s">
        <v>2585</v>
      </c>
      <c r="C1870" s="3" t="s">
        <v>2587</v>
      </c>
      <c r="D1870" s="3">
        <v>1000</v>
      </c>
      <c r="E1870" s="4"/>
      <c r="F1870" s="5"/>
      <c r="G1870" s="3">
        <v>1000</v>
      </c>
      <c r="I1870" s="7"/>
      <c r="J1870" s="8"/>
      <c r="K1870" s="9"/>
    </row>
    <row r="1871" spans="1:11" x14ac:dyDescent="0.25">
      <c r="A1871" t="str">
        <f>"00904582460"</f>
        <v>00904582460</v>
      </c>
      <c r="B1871" t="s">
        <v>2588</v>
      </c>
      <c r="C1871" t="s">
        <v>2589</v>
      </c>
      <c r="D1871">
        <v>100</v>
      </c>
      <c r="G1871">
        <v>100</v>
      </c>
      <c r="I1871" s="12"/>
      <c r="J1871" s="8"/>
      <c r="K1871" s="13"/>
    </row>
    <row r="1872" spans="1:11" x14ac:dyDescent="0.25">
      <c r="A1872" s="3" t="str">
        <f>"00904582360"</f>
        <v>00904582360</v>
      </c>
      <c r="B1872" s="3" t="s">
        <v>2588</v>
      </c>
      <c r="C1872" s="3" t="s">
        <v>2590</v>
      </c>
      <c r="D1872" s="3">
        <v>100</v>
      </c>
      <c r="E1872" s="4"/>
      <c r="F1872" s="5"/>
      <c r="G1872" s="3">
        <v>100</v>
      </c>
      <c r="I1872" s="7"/>
      <c r="J1872" s="8"/>
      <c r="K1872" s="9"/>
    </row>
    <row r="1873" spans="1:11" x14ac:dyDescent="0.25">
      <c r="A1873" t="str">
        <f>"40985027288"</f>
        <v>40985027288</v>
      </c>
      <c r="B1873" t="s">
        <v>2588</v>
      </c>
      <c r="C1873" t="s">
        <v>2591</v>
      </c>
      <c r="D1873">
        <v>110</v>
      </c>
      <c r="G1873">
        <v>110</v>
      </c>
      <c r="I1873" s="12"/>
      <c r="J1873" s="8"/>
      <c r="K1873" s="13"/>
    </row>
    <row r="1874" spans="1:11" x14ac:dyDescent="0.25">
      <c r="A1874" s="3" t="str">
        <f>"00904027060"</f>
        <v>00904027060</v>
      </c>
      <c r="B1874" s="3" t="s">
        <v>2592</v>
      </c>
      <c r="C1874" s="3" t="s">
        <v>2594</v>
      </c>
      <c r="D1874" s="3">
        <v>100</v>
      </c>
      <c r="E1874" s="4"/>
      <c r="F1874" s="5"/>
      <c r="G1874" s="3">
        <v>100</v>
      </c>
      <c r="I1874" s="7"/>
      <c r="J1874" s="8"/>
      <c r="K1874" s="9"/>
    </row>
    <row r="1875" spans="1:11" x14ac:dyDescent="0.25">
      <c r="A1875" t="str">
        <f>"00904027460"</f>
        <v>00904027460</v>
      </c>
      <c r="B1875" t="s">
        <v>2592</v>
      </c>
      <c r="C1875" t="s">
        <v>2593</v>
      </c>
      <c r="D1875">
        <v>100</v>
      </c>
      <c r="G1875">
        <v>100</v>
      </c>
      <c r="I1875" s="12"/>
      <c r="J1875" s="8"/>
      <c r="K1875" s="13"/>
    </row>
    <row r="1876" spans="1:11" x14ac:dyDescent="0.25">
      <c r="A1876" s="3" t="str">
        <f>"00409915801"</f>
        <v>00409915801</v>
      </c>
      <c r="B1876" s="3" t="s">
        <v>1530</v>
      </c>
      <c r="C1876" s="3" t="s">
        <v>2595</v>
      </c>
      <c r="D1876" s="3">
        <v>25</v>
      </c>
      <c r="E1876" s="4" t="s">
        <v>11</v>
      </c>
      <c r="F1876" s="5">
        <v>10</v>
      </c>
      <c r="G1876" s="3">
        <v>1</v>
      </c>
      <c r="I1876" s="7"/>
      <c r="J1876" s="8"/>
      <c r="K1876" s="9"/>
    </row>
    <row r="1877" spans="1:11" x14ac:dyDescent="0.25">
      <c r="A1877" t="str">
        <f>"50268085115"</f>
        <v>50268085115</v>
      </c>
      <c r="B1877" t="s">
        <v>2572</v>
      </c>
      <c r="C1877" t="s">
        <v>2596</v>
      </c>
      <c r="D1877">
        <v>50</v>
      </c>
      <c r="E1877" s="10" t="s">
        <v>11</v>
      </c>
      <c r="F1877" s="11">
        <v>100</v>
      </c>
      <c r="G1877">
        <v>50</v>
      </c>
      <c r="I1877" s="12"/>
      <c r="J1877" s="8"/>
      <c r="K1877" s="13"/>
    </row>
    <row r="1878" spans="1:11" x14ac:dyDescent="0.25">
      <c r="A1878" s="3" t="str">
        <f>"51645091401"</f>
        <v>51645091401</v>
      </c>
      <c r="B1878" s="3" t="s">
        <v>625</v>
      </c>
      <c r="C1878" s="3" t="s">
        <v>2597</v>
      </c>
      <c r="D1878" s="3">
        <v>100</v>
      </c>
      <c r="E1878" s="4"/>
      <c r="F1878" s="5"/>
      <c r="G1878" s="3">
        <v>100</v>
      </c>
      <c r="I1878" s="7"/>
      <c r="J1878" s="8"/>
      <c r="K1878" s="9"/>
    </row>
    <row r="1879" spans="1:11" x14ac:dyDescent="0.25">
      <c r="A1879" t="str">
        <f>"51991060401"</f>
        <v>51991060401</v>
      </c>
      <c r="B1879" t="s">
        <v>2598</v>
      </c>
      <c r="C1879" t="s">
        <v>2599</v>
      </c>
      <c r="D1879">
        <v>100</v>
      </c>
      <c r="E1879" s="10" t="s">
        <v>2600</v>
      </c>
      <c r="F1879" s="11" t="s">
        <v>2601</v>
      </c>
      <c r="G1879">
        <v>100</v>
      </c>
      <c r="I1879" s="12"/>
      <c r="J1879" s="8"/>
      <c r="K1879" s="13"/>
    </row>
    <row r="1880" spans="1:11" x14ac:dyDescent="0.25">
      <c r="A1880" s="3" t="str">
        <f>"13811051410"</f>
        <v>13811051410</v>
      </c>
      <c r="B1880" s="3" t="s">
        <v>2602</v>
      </c>
      <c r="C1880" s="3" t="s">
        <v>2603</v>
      </c>
      <c r="D1880" s="3">
        <v>100</v>
      </c>
      <c r="E1880" s="4"/>
      <c r="F1880" s="5"/>
      <c r="G1880" s="3">
        <v>100</v>
      </c>
      <c r="I1880" s="7"/>
      <c r="J1880" s="8"/>
      <c r="K1880" s="9"/>
    </row>
    <row r="1881" spans="1:11" x14ac:dyDescent="0.25">
      <c r="A1881" t="str">
        <f>"68462057330"</f>
        <v>68462057330</v>
      </c>
      <c r="B1881" t="s">
        <v>2604</v>
      </c>
      <c r="C1881" t="s">
        <v>2605</v>
      </c>
      <c r="D1881">
        <v>30</v>
      </c>
      <c r="E1881" s="10" t="s">
        <v>11</v>
      </c>
      <c r="F1881" s="11">
        <v>200</v>
      </c>
      <c r="G1881">
        <v>30</v>
      </c>
      <c r="I1881" s="12"/>
      <c r="J1881" s="8"/>
      <c r="K1881" s="13"/>
    </row>
    <row r="1882" spans="1:11" x14ac:dyDescent="0.25">
      <c r="A1882" s="3" t="str">
        <f>"00093528956"</f>
        <v>00093528956</v>
      </c>
      <c r="B1882" s="3" t="s">
        <v>2604</v>
      </c>
      <c r="C1882" s="3" t="s">
        <v>2606</v>
      </c>
      <c r="D1882" s="3">
        <v>30</v>
      </c>
      <c r="E1882" s="4" t="s">
        <v>11</v>
      </c>
      <c r="F1882" s="5">
        <v>50</v>
      </c>
      <c r="G1882" s="3">
        <v>30</v>
      </c>
      <c r="I1882" s="7"/>
      <c r="J1882" s="8"/>
      <c r="K1882" s="9"/>
    </row>
    <row r="1883" spans="1:11" x14ac:dyDescent="0.25">
      <c r="A1883" t="str">
        <f>"66582031131"</f>
        <v>66582031131</v>
      </c>
      <c r="B1883" t="s">
        <v>2607</v>
      </c>
      <c r="C1883" t="s">
        <v>2608</v>
      </c>
      <c r="D1883">
        <v>30</v>
      </c>
      <c r="E1883" s="10" t="s">
        <v>1898</v>
      </c>
      <c r="F1883" s="11" t="s">
        <v>2609</v>
      </c>
      <c r="G1883">
        <v>30</v>
      </c>
      <c r="I1883" s="12"/>
      <c r="J1883" s="8"/>
      <c r="K1883" s="13"/>
    </row>
    <row r="1884" spans="1:11" x14ac:dyDescent="0.25">
      <c r="A1884" s="3" t="str">
        <f>"66582031331"</f>
        <v>66582031331</v>
      </c>
      <c r="B1884" s="3" t="s">
        <v>2607</v>
      </c>
      <c r="C1884" s="3" t="s">
        <v>2610</v>
      </c>
      <c r="D1884" s="3">
        <v>30</v>
      </c>
      <c r="E1884" s="4" t="s">
        <v>821</v>
      </c>
      <c r="F1884" s="5" t="s">
        <v>2609</v>
      </c>
      <c r="G1884" s="3">
        <v>30</v>
      </c>
      <c r="I1884" s="7"/>
      <c r="J1884" s="8"/>
      <c r="K1884" s="9"/>
    </row>
    <row r="1885" spans="1:11" x14ac:dyDescent="0.25">
      <c r="A1885" t="str">
        <f>"59417010210"</f>
        <v>59417010210</v>
      </c>
      <c r="B1885" t="s">
        <v>2611</v>
      </c>
      <c r="C1885" t="s">
        <v>2612</v>
      </c>
      <c r="D1885">
        <v>100</v>
      </c>
      <c r="E1885" s="10" t="s">
        <v>11</v>
      </c>
      <c r="F1885" s="11">
        <v>20</v>
      </c>
      <c r="G1885">
        <v>100</v>
      </c>
      <c r="I1885" s="12"/>
      <c r="J1885" s="8"/>
      <c r="K1885" s="13"/>
    </row>
    <row r="1886" spans="1:11" x14ac:dyDescent="0.25">
      <c r="A1886" s="3" t="str">
        <f>"59417010310"</f>
        <v>59417010310</v>
      </c>
      <c r="B1886" s="3" t="s">
        <v>2611</v>
      </c>
      <c r="C1886" s="3" t="s">
        <v>2613</v>
      </c>
      <c r="D1886" s="3">
        <v>100</v>
      </c>
      <c r="E1886" s="4" t="s">
        <v>11</v>
      </c>
      <c r="F1886" s="5">
        <v>30</v>
      </c>
      <c r="G1886" s="3">
        <v>100</v>
      </c>
      <c r="I1886" s="7"/>
      <c r="J1886" s="8"/>
      <c r="K1886" s="9"/>
    </row>
    <row r="1887" spans="1:11" x14ac:dyDescent="0.25">
      <c r="A1887" t="str">
        <f>"59417010410"</f>
        <v>59417010410</v>
      </c>
      <c r="B1887" t="s">
        <v>2611</v>
      </c>
      <c r="C1887" t="s">
        <v>2614</v>
      </c>
      <c r="D1887">
        <v>100</v>
      </c>
      <c r="E1887" s="10" t="s">
        <v>11</v>
      </c>
      <c r="F1887" s="11">
        <v>40</v>
      </c>
      <c r="G1887">
        <v>100</v>
      </c>
      <c r="I1887" s="12"/>
      <c r="J1887" s="8"/>
      <c r="K1887" s="13"/>
    </row>
    <row r="1888" spans="1:11" x14ac:dyDescent="0.25">
      <c r="A1888" s="3" t="str">
        <f>"59417010510"</f>
        <v>59417010510</v>
      </c>
      <c r="B1888" s="3" t="s">
        <v>2611</v>
      </c>
      <c r="C1888" s="3" t="s">
        <v>2615</v>
      </c>
      <c r="D1888" s="3">
        <v>100</v>
      </c>
      <c r="E1888" s="4" t="s">
        <v>11</v>
      </c>
      <c r="F1888" s="5">
        <v>50</v>
      </c>
      <c r="G1888" s="3">
        <v>100</v>
      </c>
      <c r="I1888" s="7"/>
      <c r="J1888" s="8"/>
      <c r="K1888" s="9"/>
    </row>
    <row r="1889" spans="1:11" x14ac:dyDescent="0.25">
      <c r="A1889" t="str">
        <f>"59417010610"</f>
        <v>59417010610</v>
      </c>
      <c r="B1889" t="s">
        <v>2611</v>
      </c>
      <c r="C1889" t="s">
        <v>2616</v>
      </c>
      <c r="D1889">
        <v>100</v>
      </c>
      <c r="E1889" s="10" t="s">
        <v>11</v>
      </c>
      <c r="F1889" s="11">
        <v>60</v>
      </c>
      <c r="G1889">
        <v>100</v>
      </c>
      <c r="I1889" s="12"/>
      <c r="J1889" s="8"/>
      <c r="K1889" s="13"/>
    </row>
    <row r="1890" spans="1:11" x14ac:dyDescent="0.25">
      <c r="A1890" s="3" t="str">
        <f>"59417010710"</f>
        <v>59417010710</v>
      </c>
      <c r="B1890" s="3" t="s">
        <v>2611</v>
      </c>
      <c r="C1890" s="3" t="s">
        <v>2617</v>
      </c>
      <c r="D1890" s="3">
        <v>100</v>
      </c>
      <c r="E1890" s="4" t="s">
        <v>11</v>
      </c>
      <c r="F1890" s="5">
        <v>70</v>
      </c>
      <c r="G1890" s="3">
        <v>100</v>
      </c>
      <c r="I1890" s="7"/>
      <c r="J1890" s="8"/>
      <c r="K1890" s="9"/>
    </row>
    <row r="1891" spans="1:11" x14ac:dyDescent="0.25">
      <c r="A1891" t="str">
        <f>"00173013555"</f>
        <v>00173013555</v>
      </c>
      <c r="B1891" t="s">
        <v>373</v>
      </c>
      <c r="C1891" t="s">
        <v>2618</v>
      </c>
      <c r="D1891">
        <v>60</v>
      </c>
      <c r="E1891" s="10" t="s">
        <v>11</v>
      </c>
      <c r="F1891" s="11">
        <v>150</v>
      </c>
      <c r="G1891">
        <v>60</v>
      </c>
      <c r="I1891" s="12"/>
      <c r="J1891" s="8"/>
      <c r="K1891" s="13"/>
    </row>
    <row r="1892" spans="1:11" x14ac:dyDescent="0.25">
      <c r="A1892" s="3" t="str">
        <f>"50458058030"</f>
        <v>50458058030</v>
      </c>
      <c r="B1892" s="3" t="s">
        <v>2619</v>
      </c>
      <c r="C1892" s="3" t="s">
        <v>2620</v>
      </c>
      <c r="D1892" s="3">
        <v>30</v>
      </c>
      <c r="E1892" s="4" t="s">
        <v>11</v>
      </c>
      <c r="F1892" s="5">
        <v>10</v>
      </c>
      <c r="G1892" s="3">
        <v>30</v>
      </c>
      <c r="I1892" s="7"/>
      <c r="J1892" s="8"/>
      <c r="K1892" s="9"/>
    </row>
    <row r="1893" spans="1:11" x14ac:dyDescent="0.25">
      <c r="A1893" t="str">
        <f>"50458057830"</f>
        <v>50458057830</v>
      </c>
      <c r="B1893" t="s">
        <v>2619</v>
      </c>
      <c r="C1893" t="s">
        <v>2621</v>
      </c>
      <c r="D1893">
        <v>30</v>
      </c>
      <c r="E1893" s="10" t="s">
        <v>11</v>
      </c>
      <c r="F1893" s="11">
        <v>15</v>
      </c>
      <c r="G1893">
        <v>30</v>
      </c>
      <c r="I1893" s="12"/>
      <c r="J1893" s="8"/>
      <c r="K1893" s="13"/>
    </row>
    <row r="1894" spans="1:11" x14ac:dyDescent="0.25">
      <c r="A1894" s="3" t="str">
        <f>"50458057930"</f>
        <v>50458057930</v>
      </c>
      <c r="B1894" s="3" t="s">
        <v>2619</v>
      </c>
      <c r="C1894" s="3" t="s">
        <v>2622</v>
      </c>
      <c r="D1894" s="3">
        <v>30</v>
      </c>
      <c r="E1894" s="4" t="s">
        <v>11</v>
      </c>
      <c r="F1894" s="5">
        <v>20</v>
      </c>
      <c r="G1894" s="3">
        <v>30</v>
      </c>
      <c r="I1894" s="7"/>
      <c r="J1894" s="8"/>
      <c r="K1894" s="9"/>
    </row>
    <row r="1895" spans="1:11" x14ac:dyDescent="0.25">
      <c r="A1895" t="str">
        <f>"55513073001"</f>
        <v>55513073001</v>
      </c>
      <c r="B1895" t="s">
        <v>2623</v>
      </c>
      <c r="C1895" t="s">
        <v>2624</v>
      </c>
      <c r="D1895">
        <v>1</v>
      </c>
      <c r="E1895" s="10" t="s">
        <v>11</v>
      </c>
      <c r="F1895" s="11">
        <v>120</v>
      </c>
      <c r="G1895">
        <v>1.7</v>
      </c>
      <c r="I1895" s="12"/>
      <c r="J1895" s="8"/>
      <c r="K1895" s="13"/>
    </row>
    <row r="1896" spans="1:11" x14ac:dyDescent="0.25">
      <c r="A1896" s="3" t="str">
        <f>"65649030103"</f>
        <v>65649030103</v>
      </c>
      <c r="B1896" s="3" t="s">
        <v>2625</v>
      </c>
      <c r="C1896" s="3" t="s">
        <v>2626</v>
      </c>
      <c r="D1896" s="3">
        <v>30</v>
      </c>
      <c r="E1896" s="4" t="s">
        <v>11</v>
      </c>
      <c r="F1896" s="5">
        <v>200</v>
      </c>
      <c r="G1896" s="3">
        <v>30</v>
      </c>
      <c r="I1896" s="7"/>
      <c r="J1896" s="8"/>
      <c r="K1896" s="9"/>
    </row>
    <row r="1897" spans="1:11" x14ac:dyDescent="0.25">
      <c r="A1897" t="str">
        <f>"65649030302"</f>
        <v>65649030302</v>
      </c>
      <c r="B1897" t="s">
        <v>2625</v>
      </c>
      <c r="C1897" t="s">
        <v>2627</v>
      </c>
      <c r="D1897">
        <v>60</v>
      </c>
      <c r="E1897" s="10" t="s">
        <v>11</v>
      </c>
      <c r="F1897" s="11">
        <v>550</v>
      </c>
      <c r="G1897">
        <v>60</v>
      </c>
      <c r="I1897" s="12"/>
      <c r="J1897" s="8"/>
      <c r="K1897" s="13"/>
    </row>
    <row r="1898" spans="1:11" x14ac:dyDescent="0.25">
      <c r="A1898" s="3" t="str">
        <f>"50242004062"</f>
        <v>50242004062</v>
      </c>
      <c r="B1898" s="3" t="s">
        <v>2628</v>
      </c>
      <c r="C1898" s="3" t="s">
        <v>2629</v>
      </c>
      <c r="D1898" s="3">
        <v>1.2</v>
      </c>
      <c r="E1898" s="4" t="s">
        <v>11</v>
      </c>
      <c r="F1898" s="5">
        <v>150</v>
      </c>
      <c r="G1898" s="3">
        <v>1</v>
      </c>
      <c r="I1898" s="7"/>
      <c r="J1898" s="8"/>
      <c r="K1898" s="9"/>
    </row>
    <row r="1899" spans="1:11" x14ac:dyDescent="0.25">
      <c r="A1899" t="str">
        <f>"63402051001"</f>
        <v>63402051001</v>
      </c>
      <c r="B1899" t="s">
        <v>2630</v>
      </c>
      <c r="C1899" t="s">
        <v>2631</v>
      </c>
      <c r="D1899">
        <v>15</v>
      </c>
      <c r="G1899">
        <v>15</v>
      </c>
      <c r="I1899" s="12"/>
      <c r="J1899" s="8"/>
      <c r="K1899" s="13"/>
    </row>
    <row r="1900" spans="1:11" x14ac:dyDescent="0.25">
      <c r="A1900" s="3" t="str">
        <f>"63323048527"</f>
        <v>63323048527</v>
      </c>
      <c r="B1900" s="3" t="s">
        <v>1394</v>
      </c>
      <c r="C1900" s="3" t="s">
        <v>2632</v>
      </c>
      <c r="D1900" s="3">
        <v>500</v>
      </c>
      <c r="E1900" s="4" t="s">
        <v>43</v>
      </c>
      <c r="F1900" s="5">
        <v>1</v>
      </c>
      <c r="G1900" s="3">
        <v>20</v>
      </c>
      <c r="I1900" s="7"/>
      <c r="J1900" s="8"/>
      <c r="K1900" s="9"/>
    </row>
    <row r="1901" spans="1:11" x14ac:dyDescent="0.25">
      <c r="A1901" t="str">
        <f>"63323048617"</f>
        <v>63323048617</v>
      </c>
      <c r="B1901" t="s">
        <v>1394</v>
      </c>
      <c r="C1901" t="s">
        <v>2633</v>
      </c>
      <c r="D1901">
        <v>250</v>
      </c>
      <c r="E1901" s="10" t="s">
        <v>43</v>
      </c>
      <c r="F1901" s="11">
        <v>2</v>
      </c>
      <c r="G1901">
        <v>10</v>
      </c>
      <c r="I1901" s="12"/>
      <c r="J1901" s="8"/>
      <c r="K1901" s="13"/>
    </row>
    <row r="1902" spans="1:11" x14ac:dyDescent="0.25">
      <c r="A1902" s="3" t="str">
        <f>"63323048227"</f>
        <v>63323048227</v>
      </c>
      <c r="B1902" s="3" t="s">
        <v>1402</v>
      </c>
      <c r="C1902" s="3" t="s">
        <v>2634</v>
      </c>
      <c r="D1902" s="3">
        <v>500</v>
      </c>
      <c r="E1902" s="4" t="s">
        <v>43</v>
      </c>
      <c r="F1902" s="5">
        <v>1</v>
      </c>
      <c r="G1902" s="3">
        <v>20</v>
      </c>
      <c r="I1902" s="7"/>
      <c r="J1902" s="8"/>
      <c r="K1902" s="9"/>
    </row>
    <row r="1903" spans="1:11" x14ac:dyDescent="0.25">
      <c r="A1903" t="str">
        <f>"63323048921"</f>
        <v>63323048921</v>
      </c>
      <c r="B1903" t="s">
        <v>2635</v>
      </c>
      <c r="C1903" t="s">
        <v>2636</v>
      </c>
      <c r="D1903">
        <v>100</v>
      </c>
      <c r="E1903" s="10" t="s">
        <v>2637</v>
      </c>
      <c r="F1903" s="11" t="s">
        <v>2638</v>
      </c>
      <c r="G1903">
        <v>20</v>
      </c>
      <c r="I1903" s="12"/>
      <c r="J1903" s="8"/>
      <c r="K1903" s="13"/>
    </row>
    <row r="1904" spans="1:11" x14ac:dyDescent="0.25">
      <c r="A1904" s="3" t="str">
        <f>"49884030302"</f>
        <v>49884030302</v>
      </c>
      <c r="B1904" s="3" t="s">
        <v>2639</v>
      </c>
      <c r="C1904" s="3" t="s">
        <v>2640</v>
      </c>
      <c r="D1904" s="3">
        <v>60</v>
      </c>
      <c r="E1904" s="4" t="s">
        <v>11</v>
      </c>
      <c r="F1904" s="5">
        <v>10</v>
      </c>
      <c r="G1904" s="3">
        <v>60</v>
      </c>
      <c r="I1904" s="7"/>
      <c r="J1904" s="8"/>
      <c r="K1904" s="9"/>
    </row>
    <row r="1905" spans="1:11" x14ac:dyDescent="0.25">
      <c r="A1905" t="str">
        <f>"68084005921"</f>
        <v>68084005921</v>
      </c>
      <c r="B1905" t="s">
        <v>2639</v>
      </c>
      <c r="C1905" t="s">
        <v>2641</v>
      </c>
      <c r="D1905">
        <v>30</v>
      </c>
      <c r="E1905" s="10" t="s">
        <v>11</v>
      </c>
      <c r="F1905" s="11">
        <v>20</v>
      </c>
      <c r="G1905">
        <v>30</v>
      </c>
      <c r="I1905" s="12"/>
      <c r="J1905" s="8"/>
      <c r="K1905" s="13"/>
    </row>
    <row r="1906" spans="1:11" x14ac:dyDescent="0.25">
      <c r="A1906" s="3" t="str">
        <f>"00074165801"</f>
        <v>00074165801</v>
      </c>
      <c r="B1906" s="3" t="s">
        <v>2642</v>
      </c>
      <c r="C1906" s="3" t="s">
        <v>2643</v>
      </c>
      <c r="D1906" s="3">
        <v>25</v>
      </c>
      <c r="E1906" s="4" t="s">
        <v>240</v>
      </c>
      <c r="F1906" s="5">
        <v>5</v>
      </c>
      <c r="G1906" s="3">
        <v>1</v>
      </c>
      <c r="I1906" s="7"/>
      <c r="J1906" s="8"/>
      <c r="K1906" s="9"/>
    </row>
    <row r="1907" spans="1:11" x14ac:dyDescent="0.25">
      <c r="A1907" t="str">
        <f>"66582041454"</f>
        <v>66582041454</v>
      </c>
      <c r="B1907" t="s">
        <v>2644</v>
      </c>
      <c r="C1907" t="s">
        <v>2645</v>
      </c>
      <c r="D1907">
        <v>90</v>
      </c>
      <c r="E1907" s="10" t="s">
        <v>11</v>
      </c>
      <c r="F1907" s="11">
        <v>10</v>
      </c>
      <c r="G1907">
        <v>90</v>
      </c>
      <c r="I1907" s="12"/>
      <c r="J1907" s="8"/>
      <c r="K1907" s="13"/>
    </row>
    <row r="1908" spans="1:11" x14ac:dyDescent="0.25">
      <c r="A1908" s="3" t="str">
        <f>"65862002460"</f>
        <v>65862002460</v>
      </c>
      <c r="B1908" s="3" t="s">
        <v>2646</v>
      </c>
      <c r="C1908" s="3" t="s">
        <v>2647</v>
      </c>
      <c r="D1908" s="3">
        <v>60</v>
      </c>
      <c r="E1908" s="4" t="s">
        <v>11</v>
      </c>
      <c r="F1908" s="5">
        <v>300</v>
      </c>
      <c r="G1908" s="3">
        <v>60</v>
      </c>
      <c r="I1908" s="7"/>
      <c r="J1908" s="8"/>
      <c r="K1908" s="9"/>
    </row>
    <row r="1909" spans="1:11" x14ac:dyDescent="0.25">
      <c r="A1909" t="str">
        <f>"00168006202"</f>
        <v>00168006202</v>
      </c>
      <c r="B1909" t="s">
        <v>2648</v>
      </c>
      <c r="C1909" t="s">
        <v>2649</v>
      </c>
      <c r="D1909">
        <v>2</v>
      </c>
      <c r="G1909">
        <v>56.7</v>
      </c>
      <c r="I1909" s="12"/>
      <c r="J1909" s="8"/>
      <c r="K1909" s="13"/>
    </row>
    <row r="1910" spans="1:11" x14ac:dyDescent="0.25">
      <c r="A1910" s="3" t="str">
        <f>"68001013606"</f>
        <v>68001013606</v>
      </c>
      <c r="B1910" s="3" t="s">
        <v>1029</v>
      </c>
      <c r="C1910" s="3" t="s">
        <v>2650</v>
      </c>
      <c r="D1910" s="3">
        <v>60</v>
      </c>
      <c r="E1910" s="4" t="s">
        <v>11</v>
      </c>
      <c r="F1910" s="5">
        <v>20</v>
      </c>
      <c r="G1910" s="3">
        <v>60</v>
      </c>
      <c r="I1910" s="7"/>
      <c r="J1910" s="8"/>
      <c r="K1910" s="9"/>
    </row>
    <row r="1911" spans="1:11" x14ac:dyDescent="0.25">
      <c r="A1911" t="str">
        <f>"68084010309"</f>
        <v>68084010309</v>
      </c>
      <c r="B1911" t="s">
        <v>1029</v>
      </c>
      <c r="C1911" t="s">
        <v>2651</v>
      </c>
      <c r="D1911">
        <v>80</v>
      </c>
      <c r="E1911" s="10" t="s">
        <v>2652</v>
      </c>
      <c r="F1911" s="11" t="s">
        <v>1827</v>
      </c>
      <c r="G1911">
        <v>80</v>
      </c>
      <c r="I1911" s="12"/>
      <c r="J1911" s="8"/>
      <c r="K1911" s="13"/>
    </row>
    <row r="1912" spans="1:11" x14ac:dyDescent="0.25">
      <c r="A1912" s="3" t="str">
        <f>"68001013706"</f>
        <v>68001013706</v>
      </c>
      <c r="B1912" s="3" t="s">
        <v>1029</v>
      </c>
      <c r="C1912" s="3" t="s">
        <v>2653</v>
      </c>
      <c r="D1912" s="3">
        <v>60</v>
      </c>
      <c r="E1912" s="4" t="s">
        <v>11</v>
      </c>
      <c r="F1912" s="5">
        <v>40</v>
      </c>
      <c r="G1912" s="3">
        <v>60</v>
      </c>
      <c r="I1912" s="7"/>
      <c r="J1912" s="8"/>
      <c r="K1912" s="9"/>
    </row>
    <row r="1913" spans="1:11" x14ac:dyDescent="0.25">
      <c r="A1913" t="str">
        <f>"68084010409"</f>
        <v>68084010409</v>
      </c>
      <c r="B1913" t="s">
        <v>1029</v>
      </c>
      <c r="C1913" t="s">
        <v>2654</v>
      </c>
      <c r="D1913">
        <v>80</v>
      </c>
      <c r="E1913" s="10" t="s">
        <v>2655</v>
      </c>
      <c r="F1913" s="11" t="s">
        <v>1827</v>
      </c>
      <c r="G1913">
        <v>80</v>
      </c>
      <c r="I1913" s="12"/>
      <c r="J1913" s="8"/>
      <c r="K1913" s="13"/>
    </row>
    <row r="1914" spans="1:11" x14ac:dyDescent="0.25">
      <c r="A1914" s="3" t="str">
        <f>"68001013806"</f>
        <v>68001013806</v>
      </c>
      <c r="B1914" s="3" t="s">
        <v>1029</v>
      </c>
      <c r="C1914" s="3" t="s">
        <v>2656</v>
      </c>
      <c r="D1914" s="3">
        <v>60</v>
      </c>
      <c r="E1914" s="4" t="s">
        <v>11</v>
      </c>
      <c r="F1914" s="5">
        <v>60</v>
      </c>
      <c r="G1914" s="3">
        <v>60</v>
      </c>
      <c r="I1914" s="7"/>
      <c r="J1914" s="8"/>
      <c r="K1914" s="9"/>
    </row>
    <row r="1915" spans="1:11" x14ac:dyDescent="0.25">
      <c r="A1915" t="str">
        <f>"68084010509"</f>
        <v>68084010509</v>
      </c>
      <c r="B1915" t="s">
        <v>1029</v>
      </c>
      <c r="C1915" t="s">
        <v>2657</v>
      </c>
      <c r="D1915">
        <v>80</v>
      </c>
      <c r="E1915" s="10" t="s">
        <v>2658</v>
      </c>
      <c r="F1915" s="11" t="s">
        <v>1827</v>
      </c>
      <c r="G1915">
        <v>80</v>
      </c>
      <c r="I1915" s="12"/>
      <c r="J1915" s="8"/>
      <c r="K1915" s="13"/>
    </row>
    <row r="1916" spans="1:11" x14ac:dyDescent="0.25">
      <c r="A1916" s="3" t="str">
        <f>"68180033407"</f>
        <v>68180033407</v>
      </c>
      <c r="B1916" s="3" t="s">
        <v>1029</v>
      </c>
      <c r="C1916" s="3" t="s">
        <v>2660</v>
      </c>
      <c r="D1916" s="3">
        <v>60</v>
      </c>
      <c r="E1916" s="4" t="s">
        <v>11</v>
      </c>
      <c r="F1916" s="5">
        <v>80</v>
      </c>
      <c r="G1916" s="3">
        <v>60</v>
      </c>
      <c r="I1916" s="7"/>
      <c r="J1916" s="8"/>
      <c r="K1916" s="9"/>
    </row>
    <row r="1917" spans="1:11" x14ac:dyDescent="0.25">
      <c r="A1917" t="str">
        <f>"68001013906"</f>
        <v>68001013906</v>
      </c>
      <c r="B1917" t="s">
        <v>1029</v>
      </c>
      <c r="C1917" t="s">
        <v>2659</v>
      </c>
      <c r="D1917">
        <v>60</v>
      </c>
      <c r="E1917" s="10" t="s">
        <v>11</v>
      </c>
      <c r="F1917" s="11">
        <v>80</v>
      </c>
      <c r="G1917">
        <v>60</v>
      </c>
      <c r="I1917" s="12"/>
      <c r="J1917" s="8"/>
      <c r="K1917" s="13"/>
    </row>
    <row r="1918" spans="1:11" x14ac:dyDescent="0.25">
      <c r="A1918" s="3" t="str">
        <f>"24208053535"</f>
        <v>24208053535</v>
      </c>
      <c r="B1918" s="3" t="s">
        <v>2661</v>
      </c>
      <c r="C1918" s="3" t="s">
        <v>2662</v>
      </c>
      <c r="D1918" s="3">
        <v>5</v>
      </c>
      <c r="E1918" s="4" t="s">
        <v>43</v>
      </c>
      <c r="F1918" s="5">
        <v>0.15</v>
      </c>
      <c r="G1918" s="3">
        <v>5</v>
      </c>
      <c r="I1918" s="7"/>
      <c r="J1918" s="8"/>
      <c r="K1918" s="9"/>
    </row>
    <row r="1919" spans="1:11" x14ac:dyDescent="0.25">
      <c r="A1919" t="str">
        <f>"68462013001"</f>
        <v>68462013001</v>
      </c>
      <c r="B1919" t="s">
        <v>2663</v>
      </c>
      <c r="C1919" t="s">
        <v>2664</v>
      </c>
      <c r="D1919">
        <v>100</v>
      </c>
      <c r="E1919" s="10" t="s">
        <v>11</v>
      </c>
      <c r="F1919" s="11">
        <v>100</v>
      </c>
      <c r="G1919">
        <v>100</v>
      </c>
      <c r="I1919" s="12"/>
      <c r="J1919" s="8"/>
      <c r="K1919" s="13"/>
    </row>
    <row r="1920" spans="1:11" x14ac:dyDescent="0.25">
      <c r="A1920" s="3" t="str">
        <f>"62756026002"</f>
        <v>62756026002</v>
      </c>
      <c r="B1920" s="3" t="s">
        <v>2663</v>
      </c>
      <c r="C1920" s="3" t="s">
        <v>2664</v>
      </c>
      <c r="D1920" s="3">
        <v>100</v>
      </c>
      <c r="E1920" s="4" t="s">
        <v>11</v>
      </c>
      <c r="F1920" s="5">
        <v>100</v>
      </c>
      <c r="G1920" s="3">
        <v>100</v>
      </c>
      <c r="I1920" s="7"/>
      <c r="J1920" s="8"/>
      <c r="K1920" s="9"/>
    </row>
    <row r="1921" spans="1:11" x14ac:dyDescent="0.25">
      <c r="A1921" t="str">
        <f>"68001024300"</f>
        <v>68001024300</v>
      </c>
      <c r="B1921" t="s">
        <v>2663</v>
      </c>
      <c r="C1921" t="s">
        <v>2665</v>
      </c>
      <c r="D1921">
        <v>100</v>
      </c>
      <c r="E1921" s="10" t="s">
        <v>11</v>
      </c>
      <c r="F1921" s="11">
        <v>50</v>
      </c>
      <c r="G1921">
        <v>100</v>
      </c>
      <c r="I1921" s="12"/>
      <c r="J1921" s="8"/>
      <c r="K1921" s="13"/>
    </row>
    <row r="1922" spans="1:11" x14ac:dyDescent="0.25">
      <c r="A1922" s="3" t="str">
        <f>"00023361525"</f>
        <v>00023361525</v>
      </c>
      <c r="B1922" s="3" t="s">
        <v>1012</v>
      </c>
      <c r="C1922" s="3" t="s">
        <v>2666</v>
      </c>
      <c r="D1922" s="3">
        <v>2.5</v>
      </c>
      <c r="E1922" s="4" t="s">
        <v>43</v>
      </c>
      <c r="F1922" s="5">
        <v>0.5</v>
      </c>
      <c r="G1922" s="3">
        <v>2.5</v>
      </c>
      <c r="I1922" s="7"/>
      <c r="J1922" s="8"/>
      <c r="K1922" s="9"/>
    </row>
    <row r="1923" spans="1:11" x14ac:dyDescent="0.25">
      <c r="A1923" t="str">
        <f>"00002445485"</f>
        <v>00002445485</v>
      </c>
      <c r="B1923" t="s">
        <v>1798</v>
      </c>
      <c r="C1923" t="s">
        <v>2667</v>
      </c>
      <c r="D1923">
        <v>30</v>
      </c>
      <c r="E1923" s="10" t="s">
        <v>11</v>
      </c>
      <c r="F1923" s="11">
        <v>10</v>
      </c>
      <c r="G1923">
        <v>30</v>
      </c>
      <c r="I1923" s="12"/>
      <c r="J1923" s="8"/>
      <c r="K1923" s="13"/>
    </row>
    <row r="1924" spans="1:11" x14ac:dyDescent="0.25">
      <c r="A1924" s="3" t="str">
        <f>"00002445585"</f>
        <v>00002445585</v>
      </c>
      <c r="B1924" s="3" t="s">
        <v>1798</v>
      </c>
      <c r="C1924" s="3" t="s">
        <v>2668</v>
      </c>
      <c r="D1924" s="3">
        <v>30</v>
      </c>
      <c r="E1924" s="4" t="s">
        <v>11</v>
      </c>
      <c r="F1924" s="5">
        <v>15</v>
      </c>
      <c r="G1924" s="3">
        <v>30</v>
      </c>
      <c r="I1924" s="7"/>
      <c r="J1924" s="8"/>
      <c r="K1924" s="9"/>
    </row>
    <row r="1925" spans="1:11" x14ac:dyDescent="0.25">
      <c r="A1925" t="str">
        <f>"00002445685"</f>
        <v>00002445685</v>
      </c>
      <c r="B1925" t="s">
        <v>1798</v>
      </c>
      <c r="C1925" t="s">
        <v>2669</v>
      </c>
      <c r="D1925">
        <v>30</v>
      </c>
      <c r="E1925" s="10" t="s">
        <v>11</v>
      </c>
      <c r="F1925" s="11">
        <v>20</v>
      </c>
      <c r="G1925">
        <v>30</v>
      </c>
      <c r="I1925" s="12"/>
      <c r="J1925" s="8"/>
      <c r="K1925" s="13"/>
    </row>
    <row r="1926" spans="1:11" x14ac:dyDescent="0.25"/>
  </sheetData>
  <conditionalFormatting sqref="I1:K3">
    <cfRule type="cellIs" dxfId="6" priority="7" operator="equal">
      <formula>"NO"</formula>
    </cfRule>
  </conditionalFormatting>
  <conditionalFormatting sqref="I4:J1079">
    <cfRule type="cellIs" dxfId="5" priority="6" operator="equal">
      <formula>"NO"</formula>
    </cfRule>
  </conditionalFormatting>
  <conditionalFormatting sqref="K4:K1079">
    <cfRule type="cellIs" dxfId="4" priority="5" operator="equal">
      <formula>"NO"</formula>
    </cfRule>
  </conditionalFormatting>
  <conditionalFormatting sqref="E1:E1079 E1926:E1048576">
    <cfRule type="containsText" dxfId="3" priority="4" operator="containsText" text="OZ">
      <formula>NOT(ISERROR(SEARCH("OZ",E1)))</formula>
    </cfRule>
  </conditionalFormatting>
  <conditionalFormatting sqref="I1080:J1925">
    <cfRule type="cellIs" dxfId="2" priority="3" operator="equal">
      <formula>"NO"</formula>
    </cfRule>
  </conditionalFormatting>
  <conditionalFormatting sqref="K1080:K1925">
    <cfRule type="cellIs" dxfId="1" priority="2" operator="equal">
      <formula>"NO"</formula>
    </cfRule>
  </conditionalFormatting>
  <conditionalFormatting sqref="E1080:E1925">
    <cfRule type="containsText" dxfId="0" priority="1" operator="containsText" text="OZ">
      <formula>NOT(ISERROR(SEARCH("OZ",E1080)))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Pharmaceutical Cost</vt:lpstr>
    </vt:vector>
  </TitlesOfParts>
  <Company>CT Dept. of Correction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Regan</dc:creator>
  <cp:lastModifiedBy>Greene, Michael B</cp:lastModifiedBy>
  <dcterms:created xsi:type="dcterms:W3CDTF">2018-11-27T15:29:59Z</dcterms:created>
  <dcterms:modified xsi:type="dcterms:W3CDTF">2018-11-28T14:05:44Z</dcterms:modified>
</cp:coreProperties>
</file>